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2" yWindow="600" windowWidth="22716" windowHeight="10788" activeTab="5"/>
  </bookViews>
  <sheets>
    <sheet name="Čára" sheetId="1" r:id="rId1"/>
    <sheet name="DM" sheetId="2" r:id="rId2"/>
    <sheet name="DM_finale" sheetId="3" state="hidden" r:id="rId3"/>
    <sheet name="DM_pavouk" sheetId="4" r:id="rId4"/>
    <sheet name="AM" sheetId="5" r:id="rId5"/>
    <sheet name="S-LEGO" sheetId="6" r:id="rId6"/>
    <sheet name="S-NeLEGO" sheetId="7" r:id="rId7"/>
    <sheet name="Sprint vysledky" sheetId="8" state="hidden" r:id="rId8"/>
    <sheet name="Freestyle" sheetId="9" r:id="rId9"/>
    <sheet name="Monitory" sheetId="10" r:id="rId10"/>
    <sheet name="Import" sheetId="11" state="hidden" r:id="rId11"/>
  </sheets>
  <definedNames>
    <definedName name="_xlnm._FilterDatabase" localSheetId="0" hidden="1">Čára!$A$2:$J$104</definedName>
    <definedName name="_xlnm._FilterDatabase" localSheetId="1" hidden="1">DM!$A$2:$J$61</definedName>
    <definedName name="_xlnm._FilterDatabase" localSheetId="8" hidden="1">Freestyle!$A$2:$G$20</definedName>
    <definedName name="_xlnm._FilterDatabase" localSheetId="6" hidden="1">'S-NeLEGO'!$A$1:$T$102</definedName>
    <definedName name="_xlnm._FilterDatabase" localSheetId="7" hidden="1">'Sprint vysledky'!$A$2:$K$104</definedName>
    <definedName name="Data">Import!$A$5:$AG$181</definedName>
    <definedName name="DM">DM!$A$3:$E$200</definedName>
    <definedName name="Z_C98B61DE_1488_42D3_A131_052C1E54C125_.wvu.FilterData" localSheetId="1" hidden="1">DM!$L$6</definedName>
    <definedName name="Z_C98B61DE_1488_42D3_A131_052C1E54C125_.wvu.FilterData" localSheetId="5" hidden="1">'S-LEGO'!$A$2:$R$102</definedName>
    <definedName name="Z_C98B61DE_1488_42D3_A131_052C1E54C125_.wvu.FilterData" localSheetId="6" hidden="1">'S-NeLEGO'!$A$2:$R$102</definedName>
  </definedNames>
  <calcPr calcId="144525"/>
  <customWorkbookViews>
    <customWorkbookView name="Filtr 1" guid="{C98B61DE-1488-42D3-A131-052C1E54C125}" maximized="1" windowWidth="0" windowHeight="0" activeSheetId="0"/>
  </customWorkbookViews>
  <fileRecoveryPr repairLoad="1"/>
</workbook>
</file>

<file path=xl/calcChain.xml><?xml version="1.0" encoding="utf-8"?>
<calcChain xmlns="http://schemas.openxmlformats.org/spreadsheetml/2006/main">
  <c r="L1" i="10" l="1"/>
  <c r="L3" i="10" s="1"/>
  <c r="L19" i="10" s="1"/>
  <c r="G32" i="9"/>
  <c r="G28" i="9"/>
  <c r="G27" i="9"/>
  <c r="G26" i="9"/>
  <c r="G25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G3" i="9"/>
  <c r="L1" i="8"/>
  <c r="L2" i="8" s="1"/>
  <c r="L17" i="8" s="1"/>
  <c r="A1" i="8"/>
  <c r="I102" i="7"/>
  <c r="H102" i="7"/>
  <c r="G102" i="7"/>
  <c r="F102" i="7"/>
  <c r="E102" i="7" s="1"/>
  <c r="I101" i="7"/>
  <c r="H101" i="7"/>
  <c r="G101" i="7"/>
  <c r="F101" i="7"/>
  <c r="E101" i="7" s="1"/>
  <c r="I100" i="7"/>
  <c r="H100" i="7"/>
  <c r="G100" i="7"/>
  <c r="F100" i="7"/>
  <c r="E100" i="7"/>
  <c r="I99" i="7"/>
  <c r="H99" i="7"/>
  <c r="G99" i="7"/>
  <c r="F99" i="7"/>
  <c r="E99" i="7" s="1"/>
  <c r="I98" i="7"/>
  <c r="H98" i="7"/>
  <c r="G98" i="7"/>
  <c r="E98" i="7" s="1"/>
  <c r="F98" i="7"/>
  <c r="I97" i="7"/>
  <c r="H97" i="7"/>
  <c r="G97" i="7"/>
  <c r="F97" i="7"/>
  <c r="I96" i="7"/>
  <c r="H96" i="7"/>
  <c r="G96" i="7"/>
  <c r="F96" i="7"/>
  <c r="E96" i="7"/>
  <c r="I95" i="7"/>
  <c r="H95" i="7"/>
  <c r="G95" i="7"/>
  <c r="F95" i="7"/>
  <c r="E95" i="7" s="1"/>
  <c r="I94" i="7"/>
  <c r="H94" i="7"/>
  <c r="G94" i="7"/>
  <c r="E94" i="7" s="1"/>
  <c r="F94" i="7"/>
  <c r="I93" i="7"/>
  <c r="H93" i="7"/>
  <c r="G93" i="7"/>
  <c r="F93" i="7"/>
  <c r="E93" i="7" s="1"/>
  <c r="I92" i="7"/>
  <c r="H92" i="7"/>
  <c r="G92" i="7"/>
  <c r="F92" i="7"/>
  <c r="E92" i="7"/>
  <c r="I91" i="7"/>
  <c r="H91" i="7"/>
  <c r="G91" i="7"/>
  <c r="F91" i="7"/>
  <c r="E91" i="7" s="1"/>
  <c r="I90" i="7"/>
  <c r="H90" i="7"/>
  <c r="G90" i="7"/>
  <c r="E90" i="7" s="1"/>
  <c r="F90" i="7"/>
  <c r="I89" i="7"/>
  <c r="H89" i="7"/>
  <c r="G89" i="7"/>
  <c r="F89" i="7"/>
  <c r="E89" i="7" s="1"/>
  <c r="I88" i="7"/>
  <c r="H88" i="7"/>
  <c r="G88" i="7"/>
  <c r="F88" i="7"/>
  <c r="E88" i="7"/>
  <c r="I87" i="7"/>
  <c r="H87" i="7"/>
  <c r="G87" i="7"/>
  <c r="F87" i="7"/>
  <c r="E87" i="7" s="1"/>
  <c r="I86" i="7"/>
  <c r="H86" i="7"/>
  <c r="G86" i="7"/>
  <c r="E86" i="7" s="1"/>
  <c r="F86" i="7"/>
  <c r="I85" i="7"/>
  <c r="H85" i="7"/>
  <c r="G85" i="7"/>
  <c r="F85" i="7"/>
  <c r="I84" i="7"/>
  <c r="H84" i="7"/>
  <c r="G84" i="7"/>
  <c r="F84" i="7"/>
  <c r="E84" i="7"/>
  <c r="I83" i="7"/>
  <c r="H83" i="7"/>
  <c r="G83" i="7"/>
  <c r="F83" i="7"/>
  <c r="E83" i="7" s="1"/>
  <c r="I82" i="7"/>
  <c r="H82" i="7"/>
  <c r="G82" i="7"/>
  <c r="E82" i="7" s="1"/>
  <c r="F82" i="7"/>
  <c r="I81" i="7"/>
  <c r="H81" i="7"/>
  <c r="G81" i="7"/>
  <c r="F81" i="7"/>
  <c r="I80" i="7"/>
  <c r="H80" i="7"/>
  <c r="G80" i="7"/>
  <c r="F80" i="7"/>
  <c r="E80" i="7"/>
  <c r="I79" i="7"/>
  <c r="H79" i="7"/>
  <c r="G79" i="7"/>
  <c r="F79" i="7"/>
  <c r="E79" i="7" s="1"/>
  <c r="I78" i="7"/>
  <c r="H78" i="7"/>
  <c r="G78" i="7"/>
  <c r="E78" i="7" s="1"/>
  <c r="F78" i="7"/>
  <c r="I77" i="7"/>
  <c r="H77" i="7"/>
  <c r="G77" i="7"/>
  <c r="F77" i="7"/>
  <c r="E77" i="7" s="1"/>
  <c r="I76" i="7"/>
  <c r="H76" i="7"/>
  <c r="G76" i="7"/>
  <c r="F76" i="7"/>
  <c r="E76" i="7"/>
  <c r="I75" i="7"/>
  <c r="H75" i="7"/>
  <c r="G75" i="7"/>
  <c r="F75" i="7"/>
  <c r="E75" i="7" s="1"/>
  <c r="I74" i="7"/>
  <c r="H74" i="7"/>
  <c r="G74" i="7"/>
  <c r="E74" i="7" s="1"/>
  <c r="F74" i="7"/>
  <c r="I73" i="7"/>
  <c r="H73" i="7"/>
  <c r="G73" i="7"/>
  <c r="F73" i="7"/>
  <c r="E73" i="7" s="1"/>
  <c r="I72" i="7"/>
  <c r="H72" i="7"/>
  <c r="G72" i="7"/>
  <c r="F72" i="7"/>
  <c r="E72" i="7"/>
  <c r="I71" i="7"/>
  <c r="H71" i="7"/>
  <c r="G71" i="7"/>
  <c r="F71" i="7"/>
  <c r="E71" i="7" s="1"/>
  <c r="I70" i="7"/>
  <c r="H70" i="7"/>
  <c r="G70" i="7"/>
  <c r="E70" i="7" s="1"/>
  <c r="F70" i="7"/>
  <c r="I69" i="7"/>
  <c r="H69" i="7"/>
  <c r="G69" i="7"/>
  <c r="F69" i="7"/>
  <c r="E69" i="7" s="1"/>
  <c r="I68" i="7"/>
  <c r="H68" i="7"/>
  <c r="G68" i="7"/>
  <c r="F68" i="7"/>
  <c r="E68" i="7"/>
  <c r="I67" i="7"/>
  <c r="H67" i="7"/>
  <c r="G67" i="7"/>
  <c r="F67" i="7"/>
  <c r="E67" i="7" s="1"/>
  <c r="I66" i="7"/>
  <c r="H66" i="7"/>
  <c r="G66" i="7"/>
  <c r="E66" i="7" s="1"/>
  <c r="F66" i="7"/>
  <c r="I65" i="7"/>
  <c r="H65" i="7"/>
  <c r="G65" i="7"/>
  <c r="F65" i="7"/>
  <c r="I64" i="7"/>
  <c r="H64" i="7"/>
  <c r="G64" i="7"/>
  <c r="F64" i="7"/>
  <c r="E64" i="7"/>
  <c r="I63" i="7"/>
  <c r="H63" i="7"/>
  <c r="G63" i="7"/>
  <c r="F63" i="7"/>
  <c r="E63" i="7" s="1"/>
  <c r="I62" i="7"/>
  <c r="H62" i="7"/>
  <c r="G62" i="7"/>
  <c r="E62" i="7" s="1"/>
  <c r="F62" i="7"/>
  <c r="I61" i="7"/>
  <c r="H61" i="7"/>
  <c r="G61" i="7"/>
  <c r="F61" i="7"/>
  <c r="E61" i="7" s="1"/>
  <c r="I60" i="7"/>
  <c r="H60" i="7"/>
  <c r="G60" i="7"/>
  <c r="F60" i="7"/>
  <c r="E60" i="7"/>
  <c r="I59" i="7"/>
  <c r="H59" i="7"/>
  <c r="G59" i="7"/>
  <c r="F59" i="7"/>
  <c r="E59" i="7" s="1"/>
  <c r="I58" i="7"/>
  <c r="H58" i="7"/>
  <c r="G58" i="7"/>
  <c r="E58" i="7" s="1"/>
  <c r="F58" i="7"/>
  <c r="I57" i="7"/>
  <c r="H57" i="7"/>
  <c r="G57" i="7"/>
  <c r="F57" i="7"/>
  <c r="E57" i="7" s="1"/>
  <c r="I56" i="7"/>
  <c r="H56" i="7"/>
  <c r="G56" i="7"/>
  <c r="F56" i="7"/>
  <c r="E56" i="7"/>
  <c r="I55" i="7"/>
  <c r="H55" i="7"/>
  <c r="G55" i="7"/>
  <c r="F55" i="7"/>
  <c r="E55" i="7" s="1"/>
  <c r="I54" i="7"/>
  <c r="H54" i="7"/>
  <c r="G54" i="7"/>
  <c r="E54" i="7" s="1"/>
  <c r="F54" i="7"/>
  <c r="I53" i="7"/>
  <c r="H53" i="7"/>
  <c r="G53" i="7"/>
  <c r="F53" i="7"/>
  <c r="I52" i="7"/>
  <c r="H52" i="7"/>
  <c r="G52" i="7"/>
  <c r="F52" i="7"/>
  <c r="E52" i="7"/>
  <c r="I51" i="7"/>
  <c r="H51" i="7"/>
  <c r="G51" i="7"/>
  <c r="F51" i="7"/>
  <c r="E51" i="7" s="1"/>
  <c r="I50" i="7"/>
  <c r="H50" i="7"/>
  <c r="G50" i="7"/>
  <c r="E50" i="7" s="1"/>
  <c r="F50" i="7"/>
  <c r="I49" i="7"/>
  <c r="H49" i="7"/>
  <c r="G49" i="7"/>
  <c r="F49" i="7"/>
  <c r="I48" i="7"/>
  <c r="H48" i="7"/>
  <c r="G48" i="7"/>
  <c r="F48" i="7"/>
  <c r="E48" i="7"/>
  <c r="I47" i="7"/>
  <c r="H47" i="7"/>
  <c r="G47" i="7"/>
  <c r="F47" i="7"/>
  <c r="E47" i="7" s="1"/>
  <c r="I46" i="7"/>
  <c r="H46" i="7"/>
  <c r="G46" i="7"/>
  <c r="E46" i="7" s="1"/>
  <c r="F46" i="7"/>
  <c r="I45" i="7"/>
  <c r="H45" i="7"/>
  <c r="G45" i="7"/>
  <c r="F45" i="7"/>
  <c r="E45" i="7" s="1"/>
  <c r="I44" i="7"/>
  <c r="H44" i="7"/>
  <c r="G44" i="7"/>
  <c r="F44" i="7"/>
  <c r="E44" i="7"/>
  <c r="I43" i="7"/>
  <c r="H43" i="7"/>
  <c r="G43" i="7"/>
  <c r="F43" i="7"/>
  <c r="E43" i="7" s="1"/>
  <c r="I42" i="7"/>
  <c r="H42" i="7"/>
  <c r="G42" i="7"/>
  <c r="E42" i="7" s="1"/>
  <c r="F42" i="7"/>
  <c r="I41" i="7"/>
  <c r="H41" i="7"/>
  <c r="G41" i="7"/>
  <c r="F41" i="7"/>
  <c r="E41" i="7" s="1"/>
  <c r="I40" i="7"/>
  <c r="H40" i="7"/>
  <c r="G40" i="7"/>
  <c r="F40" i="7"/>
  <c r="E40" i="7"/>
  <c r="I39" i="7"/>
  <c r="H39" i="7"/>
  <c r="G39" i="7"/>
  <c r="F39" i="7"/>
  <c r="E39" i="7" s="1"/>
  <c r="I38" i="7"/>
  <c r="H38" i="7"/>
  <c r="G38" i="7"/>
  <c r="E38" i="7" s="1"/>
  <c r="F38" i="7"/>
  <c r="I37" i="7"/>
  <c r="H37" i="7"/>
  <c r="G37" i="7"/>
  <c r="F37" i="7"/>
  <c r="E37" i="7" s="1"/>
  <c r="I36" i="7"/>
  <c r="H36" i="7"/>
  <c r="G36" i="7"/>
  <c r="F36" i="7"/>
  <c r="E36" i="7"/>
  <c r="I35" i="7"/>
  <c r="H35" i="7"/>
  <c r="G35" i="7"/>
  <c r="F35" i="7"/>
  <c r="E35" i="7" s="1"/>
  <c r="I34" i="7"/>
  <c r="H34" i="7"/>
  <c r="G34" i="7"/>
  <c r="E34" i="7" s="1"/>
  <c r="F34" i="7"/>
  <c r="I33" i="7"/>
  <c r="H33" i="7"/>
  <c r="G33" i="7"/>
  <c r="F33" i="7"/>
  <c r="I32" i="7"/>
  <c r="H32" i="7"/>
  <c r="G32" i="7"/>
  <c r="F32" i="7"/>
  <c r="E32" i="7"/>
  <c r="I31" i="7"/>
  <c r="H31" i="7"/>
  <c r="G31" i="7"/>
  <c r="F31" i="7"/>
  <c r="E31" i="7" s="1"/>
  <c r="I30" i="7"/>
  <c r="H30" i="7"/>
  <c r="G30" i="7"/>
  <c r="E30" i="7" s="1"/>
  <c r="F30" i="7"/>
  <c r="I29" i="7"/>
  <c r="H29" i="7"/>
  <c r="G29" i="7"/>
  <c r="F29" i="7"/>
  <c r="E29" i="7" s="1"/>
  <c r="I28" i="7"/>
  <c r="H28" i="7"/>
  <c r="G28" i="7"/>
  <c r="F28" i="7"/>
  <c r="E28" i="7"/>
  <c r="I27" i="7"/>
  <c r="H27" i="7"/>
  <c r="G27" i="7"/>
  <c r="F27" i="7"/>
  <c r="E27" i="7" s="1"/>
  <c r="I26" i="7"/>
  <c r="H26" i="7"/>
  <c r="G26" i="7"/>
  <c r="E26" i="7" s="1"/>
  <c r="F26" i="7"/>
  <c r="I25" i="7"/>
  <c r="H25" i="7"/>
  <c r="G25" i="7"/>
  <c r="F25" i="7"/>
  <c r="E25" i="7" s="1"/>
  <c r="I24" i="7"/>
  <c r="H24" i="7"/>
  <c r="G24" i="7"/>
  <c r="F24" i="7"/>
  <c r="E24" i="7"/>
  <c r="I23" i="7"/>
  <c r="H23" i="7"/>
  <c r="G23" i="7"/>
  <c r="F23" i="7"/>
  <c r="E23" i="7" s="1"/>
  <c r="I22" i="7"/>
  <c r="H22" i="7"/>
  <c r="G22" i="7"/>
  <c r="E22" i="7" s="1"/>
  <c r="F22" i="7"/>
  <c r="I21" i="7"/>
  <c r="H21" i="7"/>
  <c r="G21" i="7"/>
  <c r="F21" i="7"/>
  <c r="I20" i="7"/>
  <c r="H20" i="7"/>
  <c r="G20" i="7"/>
  <c r="F20" i="7"/>
  <c r="E20" i="7"/>
  <c r="I19" i="7"/>
  <c r="H19" i="7"/>
  <c r="G19" i="7"/>
  <c r="F19" i="7"/>
  <c r="E19" i="7" s="1"/>
  <c r="I18" i="7"/>
  <c r="H18" i="7"/>
  <c r="G18" i="7"/>
  <c r="E18" i="7" s="1"/>
  <c r="F18" i="7"/>
  <c r="I17" i="7"/>
  <c r="H17" i="7"/>
  <c r="G17" i="7"/>
  <c r="F17" i="7"/>
  <c r="I16" i="7"/>
  <c r="H16" i="7"/>
  <c r="G16" i="7"/>
  <c r="F16" i="7"/>
  <c r="E16" i="7"/>
  <c r="H15" i="7"/>
  <c r="G15" i="7"/>
  <c r="I14" i="7"/>
  <c r="H14" i="7"/>
  <c r="E14" i="7" s="1"/>
  <c r="G14" i="7"/>
  <c r="I13" i="7"/>
  <c r="H13" i="7"/>
  <c r="G13" i="7"/>
  <c r="F13" i="7"/>
  <c r="E13" i="7" s="1"/>
  <c r="I12" i="7"/>
  <c r="H12" i="7"/>
  <c r="G12" i="7"/>
  <c r="F12" i="7"/>
  <c r="E12" i="7"/>
  <c r="I11" i="7"/>
  <c r="H11" i="7"/>
  <c r="G11" i="7"/>
  <c r="F11" i="7"/>
  <c r="E11" i="7" s="1"/>
  <c r="I10" i="7"/>
  <c r="H10" i="7"/>
  <c r="G10" i="7"/>
  <c r="E10" i="7" s="1"/>
  <c r="F10" i="7"/>
  <c r="I9" i="7"/>
  <c r="H9" i="7"/>
  <c r="G9" i="7"/>
  <c r="F9" i="7"/>
  <c r="I8" i="7"/>
  <c r="H8" i="7"/>
  <c r="G8" i="7"/>
  <c r="F8" i="7"/>
  <c r="E8" i="7"/>
  <c r="I7" i="7"/>
  <c r="H7" i="7"/>
  <c r="G7" i="7"/>
  <c r="F7" i="7"/>
  <c r="E7" i="7" s="1"/>
  <c r="I6" i="7"/>
  <c r="H6" i="7"/>
  <c r="G6" i="7"/>
  <c r="E6" i="7" s="1"/>
  <c r="F6" i="7"/>
  <c r="I5" i="7"/>
  <c r="H5" i="7"/>
  <c r="G5" i="7"/>
  <c r="F5" i="7"/>
  <c r="I4" i="7"/>
  <c r="H4" i="7"/>
  <c r="G4" i="7"/>
  <c r="F4" i="7"/>
  <c r="E4" i="7"/>
  <c r="I3" i="7"/>
  <c r="H3" i="7"/>
  <c r="G3" i="7"/>
  <c r="F3" i="7"/>
  <c r="E3" i="7" s="1"/>
  <c r="I102" i="6"/>
  <c r="H102" i="6"/>
  <c r="G102" i="6"/>
  <c r="E102" i="6" s="1"/>
  <c r="F102" i="6"/>
  <c r="I101" i="6"/>
  <c r="H101" i="6"/>
  <c r="G101" i="6"/>
  <c r="F101" i="6"/>
  <c r="I100" i="6"/>
  <c r="H100" i="6"/>
  <c r="G100" i="6"/>
  <c r="F100" i="6"/>
  <c r="E100" i="6"/>
  <c r="I99" i="6"/>
  <c r="H99" i="6"/>
  <c r="G99" i="6"/>
  <c r="F99" i="6"/>
  <c r="E99" i="6" s="1"/>
  <c r="I98" i="6"/>
  <c r="H98" i="6"/>
  <c r="G98" i="6"/>
  <c r="E98" i="6" s="1"/>
  <c r="F98" i="6"/>
  <c r="I97" i="6"/>
  <c r="H97" i="6"/>
  <c r="G97" i="6"/>
  <c r="F97" i="6"/>
  <c r="E97" i="6" s="1"/>
  <c r="I96" i="6"/>
  <c r="H96" i="6"/>
  <c r="G96" i="6"/>
  <c r="F96" i="6"/>
  <c r="E96" i="6"/>
  <c r="I95" i="6"/>
  <c r="H95" i="6"/>
  <c r="G95" i="6"/>
  <c r="F95" i="6"/>
  <c r="E95" i="6" s="1"/>
  <c r="I94" i="6"/>
  <c r="H94" i="6"/>
  <c r="G94" i="6"/>
  <c r="E94" i="6" s="1"/>
  <c r="F94" i="6"/>
  <c r="I93" i="6"/>
  <c r="H93" i="6"/>
  <c r="G93" i="6"/>
  <c r="F93" i="6"/>
  <c r="E93" i="6" s="1"/>
  <c r="I92" i="6"/>
  <c r="H92" i="6"/>
  <c r="G92" i="6"/>
  <c r="F92" i="6"/>
  <c r="E92" i="6"/>
  <c r="I91" i="6"/>
  <c r="H91" i="6"/>
  <c r="G91" i="6"/>
  <c r="F91" i="6"/>
  <c r="E91" i="6" s="1"/>
  <c r="I90" i="6"/>
  <c r="H90" i="6"/>
  <c r="G90" i="6"/>
  <c r="E90" i="6" s="1"/>
  <c r="F90" i="6"/>
  <c r="I89" i="6"/>
  <c r="H89" i="6"/>
  <c r="G89" i="6"/>
  <c r="F89" i="6"/>
  <c r="I88" i="6"/>
  <c r="H88" i="6"/>
  <c r="G88" i="6"/>
  <c r="F88" i="6"/>
  <c r="E88" i="6"/>
  <c r="I87" i="6"/>
  <c r="H87" i="6"/>
  <c r="G87" i="6"/>
  <c r="F87" i="6"/>
  <c r="E87" i="6" s="1"/>
  <c r="I86" i="6"/>
  <c r="H86" i="6"/>
  <c r="G86" i="6"/>
  <c r="E86" i="6" s="1"/>
  <c r="F86" i="6"/>
  <c r="I85" i="6"/>
  <c r="H85" i="6"/>
  <c r="G85" i="6"/>
  <c r="F85" i="6"/>
  <c r="I84" i="6"/>
  <c r="H84" i="6"/>
  <c r="G84" i="6"/>
  <c r="F84" i="6"/>
  <c r="E84" i="6" s="1"/>
  <c r="I83" i="6"/>
  <c r="H83" i="6"/>
  <c r="G83" i="6"/>
  <c r="E83" i="6" s="1"/>
  <c r="F83" i="6"/>
  <c r="I39" i="6"/>
  <c r="H39" i="6"/>
  <c r="G39" i="6"/>
  <c r="F39" i="6"/>
  <c r="I30" i="6"/>
  <c r="H30" i="6"/>
  <c r="G30" i="6"/>
  <c r="F30" i="6"/>
  <c r="E30" i="6"/>
  <c r="I36" i="6"/>
  <c r="H36" i="6"/>
  <c r="G36" i="6"/>
  <c r="F36" i="6"/>
  <c r="E36" i="6" s="1"/>
  <c r="I81" i="6"/>
  <c r="H81" i="6"/>
  <c r="G81" i="6"/>
  <c r="F81" i="6"/>
  <c r="I82" i="6"/>
  <c r="H82" i="6"/>
  <c r="G82" i="6"/>
  <c r="F82" i="6"/>
  <c r="E82" i="6" s="1"/>
  <c r="I33" i="6"/>
  <c r="H33" i="6"/>
  <c r="G33" i="6"/>
  <c r="F33" i="6"/>
  <c r="E33" i="6" s="1"/>
  <c r="I80" i="6"/>
  <c r="H80" i="6"/>
  <c r="G80" i="6"/>
  <c r="F80" i="6"/>
  <c r="I46" i="6"/>
  <c r="H46" i="6"/>
  <c r="G46" i="6"/>
  <c r="F46" i="6"/>
  <c r="I10" i="6"/>
  <c r="H10" i="6"/>
  <c r="G10" i="6"/>
  <c r="F10" i="6"/>
  <c r="I79" i="6"/>
  <c r="H79" i="6"/>
  <c r="G79" i="6"/>
  <c r="E79" i="6" s="1"/>
  <c r="F79" i="6"/>
  <c r="I78" i="6"/>
  <c r="H78" i="6"/>
  <c r="G78" i="6"/>
  <c r="F78" i="6"/>
  <c r="I19" i="6"/>
  <c r="H19" i="6"/>
  <c r="G19" i="6"/>
  <c r="F19" i="6"/>
  <c r="I14" i="6"/>
  <c r="H14" i="6"/>
  <c r="G14" i="6"/>
  <c r="F14" i="6"/>
  <c r="I77" i="6"/>
  <c r="H77" i="6"/>
  <c r="G77" i="6"/>
  <c r="F77" i="6"/>
  <c r="E77" i="6"/>
  <c r="I11" i="6"/>
  <c r="H11" i="6"/>
  <c r="G11" i="6"/>
  <c r="F11" i="6"/>
  <c r="E11" i="6" s="1"/>
  <c r="I76" i="6"/>
  <c r="H76" i="6"/>
  <c r="G76" i="6"/>
  <c r="F76" i="6"/>
  <c r="I75" i="6"/>
  <c r="H75" i="6"/>
  <c r="G75" i="6"/>
  <c r="F75" i="6"/>
  <c r="E75" i="6" s="1"/>
  <c r="I48" i="6"/>
  <c r="H48" i="6"/>
  <c r="G48" i="6"/>
  <c r="F48" i="6"/>
  <c r="E48" i="6" s="1"/>
  <c r="I74" i="6"/>
  <c r="H74" i="6"/>
  <c r="G74" i="6"/>
  <c r="F74" i="6"/>
  <c r="I26" i="6"/>
  <c r="H26" i="6"/>
  <c r="G26" i="6"/>
  <c r="E26" i="6" s="1"/>
  <c r="F26" i="6"/>
  <c r="I45" i="6"/>
  <c r="H45" i="6"/>
  <c r="G45" i="6"/>
  <c r="F45" i="6"/>
  <c r="I41" i="6"/>
  <c r="H41" i="6"/>
  <c r="G41" i="6"/>
  <c r="F41" i="6"/>
  <c r="E41" i="6" s="1"/>
  <c r="I20" i="6"/>
  <c r="H20" i="6"/>
  <c r="G20" i="6"/>
  <c r="F20" i="6"/>
  <c r="I73" i="6"/>
  <c r="H73" i="6"/>
  <c r="G73" i="6"/>
  <c r="E73" i="6" s="1"/>
  <c r="F73" i="6"/>
  <c r="I23" i="6"/>
  <c r="H23" i="6"/>
  <c r="G23" i="6"/>
  <c r="F23" i="6"/>
  <c r="I16" i="6"/>
  <c r="H16" i="6"/>
  <c r="G16" i="6"/>
  <c r="F16" i="6"/>
  <c r="I72" i="6"/>
  <c r="H72" i="6"/>
  <c r="G72" i="6"/>
  <c r="F72" i="6"/>
  <c r="I50" i="6"/>
  <c r="H50" i="6"/>
  <c r="G50" i="6"/>
  <c r="F50" i="6"/>
  <c r="I71" i="6"/>
  <c r="H71" i="6"/>
  <c r="G71" i="6"/>
  <c r="F71" i="6"/>
  <c r="I12" i="6"/>
  <c r="H12" i="6"/>
  <c r="G12" i="6"/>
  <c r="F12" i="6"/>
  <c r="E12" i="6"/>
  <c r="I70" i="6"/>
  <c r="H70" i="6"/>
  <c r="G70" i="6"/>
  <c r="F70" i="6"/>
  <c r="I37" i="6"/>
  <c r="H37" i="6"/>
  <c r="G37" i="6"/>
  <c r="F37" i="6"/>
  <c r="I43" i="6"/>
  <c r="H43" i="6"/>
  <c r="G43" i="6"/>
  <c r="F43" i="6"/>
  <c r="I69" i="6"/>
  <c r="H69" i="6"/>
  <c r="G69" i="6"/>
  <c r="F69" i="6"/>
  <c r="I7" i="6"/>
  <c r="H7" i="6"/>
  <c r="G7" i="6"/>
  <c r="F7" i="6"/>
  <c r="E7" i="6" s="1"/>
  <c r="I68" i="6"/>
  <c r="H68" i="6"/>
  <c r="G68" i="6"/>
  <c r="F68" i="6"/>
  <c r="I18" i="6"/>
  <c r="H18" i="6"/>
  <c r="G18" i="6"/>
  <c r="F18" i="6"/>
  <c r="E18" i="6" s="1"/>
  <c r="I67" i="6"/>
  <c r="H67" i="6"/>
  <c r="G67" i="6"/>
  <c r="F67" i="6"/>
  <c r="E67" i="6" s="1"/>
  <c r="I27" i="6"/>
  <c r="H27" i="6"/>
  <c r="G27" i="6"/>
  <c r="F27" i="6"/>
  <c r="I29" i="6"/>
  <c r="H29" i="6"/>
  <c r="G29" i="6"/>
  <c r="F29" i="6"/>
  <c r="I66" i="6"/>
  <c r="H66" i="6"/>
  <c r="G66" i="6"/>
  <c r="F66" i="6"/>
  <c r="I31" i="6"/>
  <c r="H31" i="6"/>
  <c r="G31" i="6"/>
  <c r="E31" i="6" s="1"/>
  <c r="F31" i="6"/>
  <c r="I65" i="6"/>
  <c r="H65" i="6"/>
  <c r="G65" i="6"/>
  <c r="F65" i="6"/>
  <c r="I64" i="6"/>
  <c r="H64" i="6"/>
  <c r="G64" i="6"/>
  <c r="E64" i="6" s="1"/>
  <c r="F64" i="6"/>
  <c r="I63" i="6"/>
  <c r="H63" i="6"/>
  <c r="G63" i="6"/>
  <c r="F63" i="6"/>
  <c r="I62" i="6"/>
  <c r="H62" i="6"/>
  <c r="G62" i="6"/>
  <c r="E62" i="6" s="1"/>
  <c r="F62" i="6"/>
  <c r="I22" i="6"/>
  <c r="H22" i="6"/>
  <c r="G22" i="6"/>
  <c r="F22" i="6"/>
  <c r="I13" i="6"/>
  <c r="H13" i="6"/>
  <c r="G13" i="6"/>
  <c r="F13" i="6"/>
  <c r="I61" i="6"/>
  <c r="H61" i="6"/>
  <c r="G61" i="6"/>
  <c r="F61" i="6"/>
  <c r="I60" i="6"/>
  <c r="H60" i="6"/>
  <c r="G60" i="6"/>
  <c r="F60" i="6"/>
  <c r="I59" i="6"/>
  <c r="H59" i="6"/>
  <c r="G59" i="6"/>
  <c r="F59" i="6"/>
  <c r="I9" i="6"/>
  <c r="H9" i="6"/>
  <c r="G9" i="6"/>
  <c r="F9" i="6"/>
  <c r="I34" i="6"/>
  <c r="H34" i="6"/>
  <c r="G34" i="6"/>
  <c r="F34" i="6"/>
  <c r="I25" i="6"/>
  <c r="H25" i="6"/>
  <c r="G25" i="6"/>
  <c r="F25" i="6"/>
  <c r="E25" i="6" s="1"/>
  <c r="I58" i="6"/>
  <c r="H58" i="6"/>
  <c r="G58" i="6"/>
  <c r="F58" i="6"/>
  <c r="I57" i="6"/>
  <c r="E57" i="6" s="1"/>
  <c r="H57" i="6"/>
  <c r="G57" i="6"/>
  <c r="F57" i="6"/>
  <c r="I17" i="6"/>
  <c r="H17" i="6"/>
  <c r="G17" i="6"/>
  <c r="F17" i="6"/>
  <c r="I56" i="6"/>
  <c r="H56" i="6"/>
  <c r="G56" i="6"/>
  <c r="F56" i="6"/>
  <c r="I38" i="6"/>
  <c r="H38" i="6"/>
  <c r="G38" i="6"/>
  <c r="F38" i="6"/>
  <c r="I55" i="6"/>
  <c r="H55" i="6"/>
  <c r="G55" i="6"/>
  <c r="F55" i="6"/>
  <c r="I54" i="6"/>
  <c r="H54" i="6"/>
  <c r="G54" i="6"/>
  <c r="F54" i="6"/>
  <c r="I40" i="6"/>
  <c r="H40" i="6"/>
  <c r="G40" i="6"/>
  <c r="F40" i="6"/>
  <c r="E40" i="6"/>
  <c r="I53" i="6"/>
  <c r="H53" i="6"/>
  <c r="G53" i="6"/>
  <c r="F53" i="6"/>
  <c r="I47" i="6"/>
  <c r="H47" i="6"/>
  <c r="G47" i="6"/>
  <c r="F47" i="6"/>
  <c r="I52" i="6"/>
  <c r="H52" i="6"/>
  <c r="G52" i="6"/>
  <c r="F52" i="6"/>
  <c r="I3" i="6"/>
  <c r="H3" i="6"/>
  <c r="G3" i="6"/>
  <c r="F3" i="6"/>
  <c r="I42" i="6"/>
  <c r="H42" i="6"/>
  <c r="G42" i="6"/>
  <c r="F42" i="6"/>
  <c r="E42" i="6" s="1"/>
  <c r="I21" i="6"/>
  <c r="H21" i="6"/>
  <c r="G21" i="6"/>
  <c r="F21" i="6"/>
  <c r="I8" i="6"/>
  <c r="H8" i="6"/>
  <c r="G8" i="6"/>
  <c r="F8" i="6"/>
  <c r="E8" i="6" s="1"/>
  <c r="I6" i="6"/>
  <c r="H6" i="6"/>
  <c r="G6" i="6"/>
  <c r="F6" i="6"/>
  <c r="E6" i="6" s="1"/>
  <c r="I32" i="6"/>
  <c r="H32" i="6"/>
  <c r="G32" i="6"/>
  <c r="F32" i="6"/>
  <c r="I5" i="6"/>
  <c r="H5" i="6"/>
  <c r="G5" i="6"/>
  <c r="F5" i="6"/>
  <c r="I4" i="6"/>
  <c r="H4" i="6"/>
  <c r="G4" i="6"/>
  <c r="F4" i="6"/>
  <c r="I49" i="6"/>
  <c r="H49" i="6"/>
  <c r="G49" i="6"/>
  <c r="E49" i="6" s="1"/>
  <c r="F49" i="6"/>
  <c r="I35" i="6"/>
  <c r="H35" i="6"/>
  <c r="G35" i="6"/>
  <c r="F35" i="6"/>
  <c r="I15" i="6"/>
  <c r="H15" i="6"/>
  <c r="G15" i="6"/>
  <c r="E15" i="6" s="1"/>
  <c r="F15" i="6"/>
  <c r="I51" i="6"/>
  <c r="H51" i="6"/>
  <c r="G51" i="6"/>
  <c r="F51" i="6"/>
  <c r="I44" i="6"/>
  <c r="H44" i="6"/>
  <c r="G44" i="6"/>
  <c r="E44" i="6" s="1"/>
  <c r="F44" i="6"/>
  <c r="I24" i="6"/>
  <c r="H24" i="6"/>
  <c r="G24" i="6"/>
  <c r="F24" i="6"/>
  <c r="I28" i="6"/>
  <c r="H28" i="6"/>
  <c r="G28" i="6"/>
  <c r="F28" i="6"/>
  <c r="E28" i="6" s="1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N36" i="4"/>
  <c r="F35" i="4"/>
  <c r="J34" i="4"/>
  <c r="F31" i="4"/>
  <c r="N30" i="4"/>
  <c r="I18" i="3" s="1"/>
  <c r="J30" i="4"/>
  <c r="F30" i="4"/>
  <c r="N29" i="4"/>
  <c r="I14" i="3" s="1"/>
  <c r="J29" i="4"/>
  <c r="F29" i="4"/>
  <c r="F28" i="4"/>
  <c r="F27" i="4"/>
  <c r="N26" i="4"/>
  <c r="J21" i="3" s="1"/>
  <c r="J26" i="4"/>
  <c r="F26" i="4"/>
  <c r="N25" i="4"/>
  <c r="J17" i="3" s="1"/>
  <c r="J25" i="4"/>
  <c r="F25" i="4"/>
  <c r="F24" i="4"/>
  <c r="F12" i="4"/>
  <c r="J11" i="4"/>
  <c r="N7" i="4" s="1"/>
  <c r="F11" i="4"/>
  <c r="J10" i="4"/>
  <c r="H8" i="3" s="1"/>
  <c r="F10" i="4"/>
  <c r="F9" i="4"/>
  <c r="F8" i="4"/>
  <c r="J7" i="4"/>
  <c r="N10" i="4" s="1"/>
  <c r="F7" i="4"/>
  <c r="J6" i="4"/>
  <c r="H4" i="3" s="1"/>
  <c r="F6" i="4"/>
  <c r="F5" i="4"/>
  <c r="G21" i="3"/>
  <c r="A21" i="3"/>
  <c r="H20" i="3"/>
  <c r="G20" i="3"/>
  <c r="A20" i="3"/>
  <c r="I19" i="3"/>
  <c r="H19" i="3"/>
  <c r="G19" i="3"/>
  <c r="A19" i="3"/>
  <c r="G18" i="3"/>
  <c r="A18" i="3"/>
  <c r="G17" i="3"/>
  <c r="A17" i="3"/>
  <c r="H16" i="3"/>
  <c r="G16" i="3"/>
  <c r="A16" i="3"/>
  <c r="I15" i="3"/>
  <c r="H15" i="3"/>
  <c r="G15" i="3"/>
  <c r="A15" i="3"/>
  <c r="G14" i="3"/>
  <c r="A14" i="3"/>
  <c r="G10" i="3"/>
  <c r="A10" i="3"/>
  <c r="H9" i="3"/>
  <c r="G9" i="3"/>
  <c r="A9" i="3"/>
  <c r="G8" i="3"/>
  <c r="A8" i="3"/>
  <c r="G7" i="3"/>
  <c r="A7" i="3"/>
  <c r="G6" i="3"/>
  <c r="A6" i="3"/>
  <c r="H5" i="3"/>
  <c r="G5" i="3"/>
  <c r="A5" i="3"/>
  <c r="G4" i="3"/>
  <c r="A4" i="3"/>
  <c r="G3" i="3"/>
  <c r="A3" i="3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104" i="1"/>
  <c r="E103" i="1"/>
  <c r="E102" i="1"/>
  <c r="E101" i="1"/>
  <c r="E100" i="1"/>
  <c r="E99" i="1"/>
  <c r="E98" i="1"/>
  <c r="E97" i="1"/>
  <c r="E96" i="1"/>
  <c r="E95" i="1"/>
  <c r="E94" i="1"/>
  <c r="E93" i="1"/>
  <c r="E8" i="1"/>
  <c r="E92" i="1"/>
  <c r="E11" i="1"/>
  <c r="E91" i="1"/>
  <c r="E90" i="1"/>
  <c r="E89" i="1"/>
  <c r="E88" i="1"/>
  <c r="E87" i="1"/>
  <c r="E10" i="1"/>
  <c r="E56" i="1"/>
  <c r="E86" i="1"/>
  <c r="E85" i="1"/>
  <c r="E48" i="1"/>
  <c r="E58" i="1"/>
  <c r="E38" i="1"/>
  <c r="E40" i="1"/>
  <c r="E84" i="1"/>
  <c r="E30" i="1"/>
  <c r="E83" i="1"/>
  <c r="E53" i="1"/>
  <c r="E32" i="1"/>
  <c r="E20" i="1"/>
  <c r="E63" i="1"/>
  <c r="E65" i="1"/>
  <c r="E67" i="1"/>
  <c r="E44" i="1"/>
  <c r="E12" i="1"/>
  <c r="E82" i="1"/>
  <c r="E81" i="1"/>
  <c r="E57" i="1"/>
  <c r="E80" i="1"/>
  <c r="E27" i="1"/>
  <c r="E29" i="1"/>
  <c r="E79" i="1"/>
  <c r="E41" i="1"/>
  <c r="E39" i="1"/>
  <c r="E47" i="1"/>
  <c r="E22" i="1"/>
  <c r="E33" i="1"/>
  <c r="E24" i="1"/>
  <c r="E66" i="1"/>
  <c r="E45" i="1"/>
  <c r="E46" i="1"/>
  <c r="E61" i="1"/>
  <c r="E36" i="1"/>
  <c r="E78" i="1"/>
  <c r="E49" i="1"/>
  <c r="E23" i="1"/>
  <c r="E16" i="1"/>
  <c r="E77" i="1"/>
  <c r="E76" i="1"/>
  <c r="E50" i="1"/>
  <c r="E3" i="1"/>
  <c r="E35" i="1"/>
  <c r="E15" i="1"/>
  <c r="E64" i="1"/>
  <c r="E18" i="1"/>
  <c r="E75" i="1"/>
  <c r="E17" i="1"/>
  <c r="E34" i="1"/>
  <c r="E54" i="1"/>
  <c r="E6" i="1"/>
  <c r="E7" i="1"/>
  <c r="E74" i="1"/>
  <c r="E60" i="1"/>
  <c r="E62" i="1"/>
  <c r="E19" i="1"/>
  <c r="E73" i="1"/>
  <c r="E31" i="1"/>
  <c r="E42" i="1"/>
  <c r="E28" i="1"/>
  <c r="E26" i="1"/>
  <c r="E43" i="1"/>
  <c r="E14" i="1"/>
  <c r="E37" i="1"/>
  <c r="E72" i="1"/>
  <c r="E9" i="1"/>
  <c r="E5" i="1"/>
  <c r="E71" i="1"/>
  <c r="E21" i="1"/>
  <c r="E13" i="1"/>
  <c r="E4" i="1"/>
  <c r="E59" i="1"/>
  <c r="E70" i="1"/>
  <c r="E69" i="1"/>
  <c r="E25" i="1"/>
  <c r="E68" i="1"/>
  <c r="E52" i="1"/>
  <c r="E55" i="1"/>
  <c r="E51" i="1"/>
  <c r="AG179" i="11"/>
  <c r="AC179" i="11"/>
  <c r="Y179" i="11"/>
  <c r="U179" i="11"/>
  <c r="Q179" i="11"/>
  <c r="M179" i="11"/>
  <c r="I179" i="11"/>
  <c r="E179" i="11"/>
  <c r="A179" i="11"/>
  <c r="AD178" i="11"/>
  <c r="Z178" i="11"/>
  <c r="V178" i="11"/>
  <c r="R178" i="11"/>
  <c r="N178" i="11"/>
  <c r="J178" i="11"/>
  <c r="F178" i="11"/>
  <c r="B178" i="11"/>
  <c r="AE177" i="11"/>
  <c r="AA177" i="11"/>
  <c r="W177" i="11"/>
  <c r="S177" i="11"/>
  <c r="O177" i="11"/>
  <c r="K177" i="11"/>
  <c r="G177" i="11"/>
  <c r="C177" i="11"/>
  <c r="AF176" i="11"/>
  <c r="AB176" i="11"/>
  <c r="X176" i="11"/>
  <c r="T176" i="11"/>
  <c r="P176" i="11"/>
  <c r="L176" i="11"/>
  <c r="H176" i="11"/>
  <c r="D176" i="11"/>
  <c r="AG175" i="11"/>
  <c r="AC175" i="11"/>
  <c r="Y175" i="11"/>
  <c r="U175" i="11"/>
  <c r="Q175" i="11"/>
  <c r="M175" i="11"/>
  <c r="I175" i="11"/>
  <c r="E175" i="11"/>
  <c r="A175" i="11"/>
  <c r="AD174" i="11"/>
  <c r="Z174" i="11"/>
  <c r="V174" i="11"/>
  <c r="R174" i="11"/>
  <c r="N174" i="11"/>
  <c r="J174" i="11"/>
  <c r="F174" i="11"/>
  <c r="B174" i="11"/>
  <c r="AE173" i="11"/>
  <c r="AA173" i="11"/>
  <c r="W173" i="11"/>
  <c r="S173" i="11"/>
  <c r="O173" i="11"/>
  <c r="K173" i="11"/>
  <c r="G173" i="11"/>
  <c r="C173" i="11"/>
  <c r="AF172" i="11"/>
  <c r="AB172" i="11"/>
  <c r="X172" i="11"/>
  <c r="T172" i="11"/>
  <c r="P172" i="11"/>
  <c r="L172" i="11"/>
  <c r="H172" i="11"/>
  <c r="D172" i="11"/>
  <c r="AG171" i="11"/>
  <c r="AC171" i="11"/>
  <c r="Y171" i="11"/>
  <c r="U171" i="11"/>
  <c r="Q171" i="11"/>
  <c r="M171" i="11"/>
  <c r="I171" i="11"/>
  <c r="E171" i="11"/>
  <c r="A171" i="11"/>
  <c r="AD170" i="11"/>
  <c r="Z170" i="11"/>
  <c r="V170" i="11"/>
  <c r="R170" i="11"/>
  <c r="N170" i="11"/>
  <c r="J170" i="11"/>
  <c r="F170" i="11"/>
  <c r="B170" i="11"/>
  <c r="AE169" i="11"/>
  <c r="AA169" i="11"/>
  <c r="W169" i="11"/>
  <c r="S169" i="11"/>
  <c r="O169" i="11"/>
  <c r="K169" i="11"/>
  <c r="G169" i="11"/>
  <c r="C169" i="11"/>
  <c r="AF168" i="11"/>
  <c r="AB168" i="11"/>
  <c r="X168" i="11"/>
  <c r="T168" i="11"/>
  <c r="P168" i="11"/>
  <c r="L168" i="11"/>
  <c r="H168" i="11"/>
  <c r="D168" i="11"/>
  <c r="AG167" i="11"/>
  <c r="AC167" i="11"/>
  <c r="Y167" i="11"/>
  <c r="U167" i="11"/>
  <c r="Q167" i="11"/>
  <c r="M167" i="11"/>
  <c r="I167" i="11"/>
  <c r="E167" i="11"/>
  <c r="A167" i="11"/>
  <c r="AD166" i="11"/>
  <c r="Z166" i="11"/>
  <c r="V166" i="11"/>
  <c r="R166" i="11"/>
  <c r="N166" i="11"/>
  <c r="J166" i="11"/>
  <c r="F166" i="11"/>
  <c r="B166" i="11"/>
  <c r="AE165" i="11"/>
  <c r="AA165" i="11"/>
  <c r="W165" i="11"/>
  <c r="S165" i="11"/>
  <c r="O165" i="11"/>
  <c r="K165" i="11"/>
  <c r="G165" i="11"/>
  <c r="C165" i="11"/>
  <c r="AF164" i="11"/>
  <c r="AB164" i="11"/>
  <c r="AF179" i="11"/>
  <c r="AB179" i="11"/>
  <c r="X179" i="11"/>
  <c r="T179" i="11"/>
  <c r="P179" i="11"/>
  <c r="L179" i="11"/>
  <c r="H179" i="11"/>
  <c r="D179" i="11"/>
  <c r="AG178" i="11"/>
  <c r="AC178" i="11"/>
  <c r="Y178" i="11"/>
  <c r="U178" i="11"/>
  <c r="Q178" i="11"/>
  <c r="M178" i="11"/>
  <c r="I178" i="11"/>
  <c r="E178" i="11"/>
  <c r="A178" i="11"/>
  <c r="AD177" i="11"/>
  <c r="Z177" i="11"/>
  <c r="V177" i="11"/>
  <c r="R177" i="11"/>
  <c r="N177" i="11"/>
  <c r="J177" i="11"/>
  <c r="F177" i="11"/>
  <c r="B177" i="11"/>
  <c r="AE176" i="11"/>
  <c r="AA176" i="11"/>
  <c r="W176" i="11"/>
  <c r="S176" i="11"/>
  <c r="O176" i="11"/>
  <c r="K176" i="11"/>
  <c r="G176" i="11"/>
  <c r="C176" i="11"/>
  <c r="AF175" i="11"/>
  <c r="AB175" i="11"/>
  <c r="X175" i="11"/>
  <c r="T175" i="11"/>
  <c r="P175" i="11"/>
  <c r="L175" i="11"/>
  <c r="H175" i="11"/>
  <c r="D175" i="11"/>
  <c r="AG174" i="11"/>
  <c r="AE179" i="11"/>
  <c r="AA179" i="11"/>
  <c r="W179" i="11"/>
  <c r="S179" i="11"/>
  <c r="O179" i="11"/>
  <c r="K179" i="11"/>
  <c r="G179" i="11"/>
  <c r="C179" i="11"/>
  <c r="AF178" i="11"/>
  <c r="AB178" i="11"/>
  <c r="X178" i="11"/>
  <c r="T178" i="11"/>
  <c r="P178" i="11"/>
  <c r="L178" i="11"/>
  <c r="H178" i="11"/>
  <c r="D178" i="11"/>
  <c r="AG177" i="11"/>
  <c r="AC177" i="11"/>
  <c r="Y177" i="11"/>
  <c r="U177" i="11"/>
  <c r="Q177" i="11"/>
  <c r="M177" i="11"/>
  <c r="I177" i="11"/>
  <c r="E177" i="11"/>
  <c r="A177" i="11"/>
  <c r="AD176" i="11"/>
  <c r="Z176" i="11"/>
  <c r="V176" i="11"/>
  <c r="R176" i="11"/>
  <c r="N176" i="11"/>
  <c r="J176" i="11"/>
  <c r="F176" i="11"/>
  <c r="B176" i="11"/>
  <c r="AE175" i="11"/>
  <c r="AA175" i="11"/>
  <c r="W175" i="11"/>
  <c r="S175" i="11"/>
  <c r="O175" i="11"/>
  <c r="K175" i="11"/>
  <c r="G175" i="11"/>
  <c r="C175" i="11"/>
  <c r="AF174" i="11"/>
  <c r="AB174" i="11"/>
  <c r="X174" i="11"/>
  <c r="T174" i="11"/>
  <c r="P174" i="11"/>
  <c r="L174" i="11"/>
  <c r="H174" i="11"/>
  <c r="D174" i="11"/>
  <c r="AG173" i="11"/>
  <c r="AC173" i="11"/>
  <c r="Y173" i="11"/>
  <c r="U173" i="11"/>
  <c r="Q173" i="11"/>
  <c r="M173" i="11"/>
  <c r="I173" i="11"/>
  <c r="E173" i="11"/>
  <c r="A173" i="11"/>
  <c r="AD172" i="11"/>
  <c r="Z172" i="11"/>
  <c r="V172" i="11"/>
  <c r="R172" i="11"/>
  <c r="N172" i="11"/>
  <c r="J172" i="11"/>
  <c r="F172" i="11"/>
  <c r="B172" i="11"/>
  <c r="AE171" i="11"/>
  <c r="AA171" i="11"/>
  <c r="W171" i="11"/>
  <c r="S171" i="11"/>
  <c r="O171" i="11"/>
  <c r="K171" i="11"/>
  <c r="G171" i="11"/>
  <c r="C171" i="11"/>
  <c r="AF170" i="11"/>
  <c r="AB170" i="11"/>
  <c r="X170" i="11"/>
  <c r="T170" i="11"/>
  <c r="P170" i="11"/>
  <c r="L170" i="11"/>
  <c r="H170" i="11"/>
  <c r="D170" i="11"/>
  <c r="AG169" i="11"/>
  <c r="AC169" i="11"/>
  <c r="Y169" i="11"/>
  <c r="U169" i="11"/>
  <c r="Q169" i="11"/>
  <c r="M169" i="11"/>
  <c r="I169" i="11"/>
  <c r="E169" i="11"/>
  <c r="A169" i="11"/>
  <c r="AD168" i="11"/>
  <c r="Z168" i="11"/>
  <c r="V168" i="11"/>
  <c r="R168" i="11"/>
  <c r="N168" i="11"/>
  <c r="J168" i="11"/>
  <c r="F168" i="11"/>
  <c r="B168" i="11"/>
  <c r="AE167" i="11"/>
  <c r="AA167" i="11"/>
  <c r="W167" i="11"/>
  <c r="S167" i="11"/>
  <c r="O167" i="11"/>
  <c r="K167" i="11"/>
  <c r="G167" i="11"/>
  <c r="C167" i="11"/>
  <c r="AF166" i="11"/>
  <c r="AB166" i="11"/>
  <c r="X166" i="11"/>
  <c r="T166" i="11"/>
  <c r="P166" i="11"/>
  <c r="L166" i="11"/>
  <c r="H166" i="11"/>
  <c r="D166" i="11"/>
  <c r="AG165" i="11"/>
  <c r="AC165" i="11"/>
  <c r="Y165" i="11"/>
  <c r="U165" i="11"/>
  <c r="Q165" i="11"/>
  <c r="M165" i="11"/>
  <c r="I165" i="11"/>
  <c r="E165" i="11"/>
  <c r="A165" i="11"/>
  <c r="AD164" i="11"/>
  <c r="Z164" i="11"/>
  <c r="V164" i="11"/>
  <c r="AD179" i="11"/>
  <c r="Z179" i="11"/>
  <c r="V179" i="11"/>
  <c r="R179" i="11"/>
  <c r="N179" i="11"/>
  <c r="J179" i="11"/>
  <c r="F179" i="11"/>
  <c r="B179" i="11"/>
  <c r="AE178" i="11"/>
  <c r="AA178" i="11"/>
  <c r="W178" i="11"/>
  <c r="S178" i="11"/>
  <c r="O178" i="11"/>
  <c r="K178" i="11"/>
  <c r="G178" i="11"/>
  <c r="C178" i="11"/>
  <c r="AF177" i="11"/>
  <c r="AB177" i="11"/>
  <c r="X177" i="11"/>
  <c r="T177" i="11"/>
  <c r="P177" i="11"/>
  <c r="L177" i="11"/>
  <c r="H177" i="11"/>
  <c r="D177" i="11"/>
  <c r="AG176" i="11"/>
  <c r="AC176" i="11"/>
  <c r="Y176" i="11"/>
  <c r="U176" i="11"/>
  <c r="Q176" i="11"/>
  <c r="M176" i="11"/>
  <c r="I176" i="11"/>
  <c r="E176" i="11"/>
  <c r="A176" i="11"/>
  <c r="AD175" i="11"/>
  <c r="Z175" i="11"/>
  <c r="V175" i="11"/>
  <c r="R175" i="11"/>
  <c r="N175" i="11"/>
  <c r="J175" i="11"/>
  <c r="F175" i="11"/>
  <c r="B175" i="11"/>
  <c r="AE174" i="11"/>
  <c r="AC174" i="11"/>
  <c r="U174" i="11"/>
  <c r="M174" i="11"/>
  <c r="E174" i="11"/>
  <c r="AD173" i="11"/>
  <c r="V173" i="11"/>
  <c r="N173" i="11"/>
  <c r="F173" i="11"/>
  <c r="AE172" i="11"/>
  <c r="W172" i="11"/>
  <c r="O172" i="11"/>
  <c r="G172" i="11"/>
  <c r="AF171" i="11"/>
  <c r="X171" i="11"/>
  <c r="P171" i="11"/>
  <c r="H171" i="11"/>
  <c r="AG170" i="11"/>
  <c r="Y170" i="11"/>
  <c r="Q170" i="11"/>
  <c r="I170" i="11"/>
  <c r="A170" i="11"/>
  <c r="Z169" i="11"/>
  <c r="R169" i="11"/>
  <c r="J169" i="11"/>
  <c r="B169" i="11"/>
  <c r="AA168" i="11"/>
  <c r="S168" i="11"/>
  <c r="K168" i="11"/>
  <c r="C168" i="11"/>
  <c r="AB167" i="11"/>
  <c r="T167" i="11"/>
  <c r="L167" i="11"/>
  <c r="D167" i="11"/>
  <c r="AC166" i="11"/>
  <c r="U166" i="11"/>
  <c r="M166" i="11"/>
  <c r="E166" i="11"/>
  <c r="AD165" i="11"/>
  <c r="V165" i="11"/>
  <c r="N165" i="11"/>
  <c r="F165" i="11"/>
  <c r="AE164" i="11"/>
  <c r="X164" i="11"/>
  <c r="S164" i="11"/>
  <c r="O164" i="11"/>
  <c r="K164" i="11"/>
  <c r="G164" i="11"/>
  <c r="C164" i="11"/>
  <c r="AF163" i="11"/>
  <c r="AB163" i="11"/>
  <c r="X163" i="11"/>
  <c r="T163" i="11"/>
  <c r="P163" i="11"/>
  <c r="L163" i="11"/>
  <c r="H163" i="11"/>
  <c r="D163" i="11"/>
  <c r="AG162" i="11"/>
  <c r="AC162" i="11"/>
  <c r="Y162" i="11"/>
  <c r="U162" i="11"/>
  <c r="Q162" i="11"/>
  <c r="AA174" i="11"/>
  <c r="S174" i="11"/>
  <c r="K174" i="11"/>
  <c r="C174" i="11"/>
  <c r="AB173" i="11"/>
  <c r="T173" i="11"/>
  <c r="L173" i="11"/>
  <c r="D173" i="11"/>
  <c r="AC172" i="11"/>
  <c r="U172" i="11"/>
  <c r="M172" i="11"/>
  <c r="E172" i="11"/>
  <c r="AD171" i="11"/>
  <c r="V171" i="11"/>
  <c r="N171" i="11"/>
  <c r="F171" i="11"/>
  <c r="AE170" i="11"/>
  <c r="W170" i="11"/>
  <c r="O170" i="11"/>
  <c r="G170" i="11"/>
  <c r="AF169" i="11"/>
  <c r="X169" i="11"/>
  <c r="P169" i="11"/>
  <c r="H169" i="11"/>
  <c r="AG168" i="11"/>
  <c r="Y168" i="11"/>
  <c r="Q168" i="11"/>
  <c r="I168" i="11"/>
  <c r="A168" i="11"/>
  <c r="Z167" i="11"/>
  <c r="R167" i="11"/>
  <c r="J167" i="11"/>
  <c r="B167" i="11"/>
  <c r="AA166" i="11"/>
  <c r="S166" i="11"/>
  <c r="K166" i="11"/>
  <c r="C166" i="11"/>
  <c r="AB165" i="11"/>
  <c r="T165" i="11"/>
  <c r="L165" i="11"/>
  <c r="D165" i="11"/>
  <c r="AC164" i="11"/>
  <c r="W164" i="11"/>
  <c r="R164" i="11"/>
  <c r="N164" i="11"/>
  <c r="J164" i="11"/>
  <c r="F164" i="11"/>
  <c r="B164" i="11"/>
  <c r="AE163" i="11"/>
  <c r="AA163" i="11"/>
  <c r="W163" i="11"/>
  <c r="S163" i="11"/>
  <c r="O163" i="11"/>
  <c r="K163" i="11"/>
  <c r="G163" i="11"/>
  <c r="C163" i="11"/>
  <c r="AF162" i="11"/>
  <c r="AB162" i="11"/>
  <c r="X162" i="11"/>
  <c r="T162" i="11"/>
  <c r="P162" i="11"/>
  <c r="Y174" i="11"/>
  <c r="Q174" i="11"/>
  <c r="I174" i="11"/>
  <c r="A174" i="11"/>
  <c r="Z173" i="11"/>
  <c r="R173" i="11"/>
  <c r="J173" i="11"/>
  <c r="B173" i="11"/>
  <c r="AA172" i="11"/>
  <c r="S172" i="11"/>
  <c r="K172" i="11"/>
  <c r="C172" i="11"/>
  <c r="AB171" i="11"/>
  <c r="T171" i="11"/>
  <c r="L171" i="11"/>
  <c r="D171" i="11"/>
  <c r="AC170" i="11"/>
  <c r="U170" i="11"/>
  <c r="M170" i="11"/>
  <c r="E170" i="11"/>
  <c r="AD169" i="11"/>
  <c r="V169" i="11"/>
  <c r="N169" i="11"/>
  <c r="F169" i="11"/>
  <c r="AE168" i="11"/>
  <c r="W168" i="11"/>
  <c r="O168" i="11"/>
  <c r="G168" i="11"/>
  <c r="AF167" i="11"/>
  <c r="X167" i="11"/>
  <c r="P167" i="11"/>
  <c r="H167" i="11"/>
  <c r="AG166" i="11"/>
  <c r="Y166" i="11"/>
  <c r="Q166" i="11"/>
  <c r="I166" i="11"/>
  <c r="A166" i="11"/>
  <c r="Z165" i="11"/>
  <c r="R165" i="11"/>
  <c r="J165" i="11"/>
  <c r="B165" i="11"/>
  <c r="AA164" i="11"/>
  <c r="U164" i="11"/>
  <c r="Q164" i="11"/>
  <c r="M164" i="11"/>
  <c r="I164" i="11"/>
  <c r="E164" i="11"/>
  <c r="A164" i="11"/>
  <c r="AD163" i="11"/>
  <c r="Z163" i="11"/>
  <c r="V163" i="11"/>
  <c r="R163" i="11"/>
  <c r="N163" i="11"/>
  <c r="J163" i="11"/>
  <c r="F163" i="11"/>
  <c r="B163" i="11"/>
  <c r="AE162" i="11"/>
  <c r="AA162" i="11"/>
  <c r="W162" i="11"/>
  <c r="S162" i="11"/>
  <c r="O162" i="11"/>
  <c r="K162" i="11"/>
  <c r="G162" i="11"/>
  <c r="C162" i="11"/>
  <c r="AF161" i="11"/>
  <c r="AB161" i="11"/>
  <c r="X161" i="11"/>
  <c r="T161" i="11"/>
  <c r="P161" i="11"/>
  <c r="L161" i="11"/>
  <c r="H161" i="11"/>
  <c r="D161" i="11"/>
  <c r="AG160" i="11"/>
  <c r="AC160" i="11"/>
  <c r="Y160" i="11"/>
  <c r="U160" i="11"/>
  <c r="Q160" i="11"/>
  <c r="M160" i="11"/>
  <c r="I160" i="11"/>
  <c r="E160" i="11"/>
  <c r="A160" i="11"/>
  <c r="AD159" i="11"/>
  <c r="Z159" i="11"/>
  <c r="V159" i="11"/>
  <c r="R159" i="11"/>
  <c r="N159" i="11"/>
  <c r="J159" i="11"/>
  <c r="F159" i="11"/>
  <c r="B159" i="11"/>
  <c r="AE158" i="11"/>
  <c r="AA158" i="11"/>
  <c r="W158" i="11"/>
  <c r="S158" i="11"/>
  <c r="O158" i="11"/>
  <c r="K158" i="11"/>
  <c r="G158" i="11"/>
  <c r="C158" i="11"/>
  <c r="AF157" i="11"/>
  <c r="AB157" i="11"/>
  <c r="X157" i="11"/>
  <c r="T157" i="11"/>
  <c r="P157" i="11"/>
  <c r="L157" i="11"/>
  <c r="H157" i="11"/>
  <c r="D157" i="11"/>
  <c r="AG156" i="11"/>
  <c r="AC156" i="11"/>
  <c r="Y156" i="11"/>
  <c r="U156" i="11"/>
  <c r="Q156" i="11"/>
  <c r="M156" i="11"/>
  <c r="I156" i="11"/>
  <c r="E156" i="11"/>
  <c r="A156" i="11"/>
  <c r="AD155" i="11"/>
  <c r="Z155" i="11"/>
  <c r="V155" i="11"/>
  <c r="R155" i="11"/>
  <c r="N155" i="11"/>
  <c r="J155" i="11"/>
  <c r="F155" i="11"/>
  <c r="B155" i="11"/>
  <c r="AE154" i="11"/>
  <c r="AA154" i="11"/>
  <c r="W154" i="11"/>
  <c r="S154" i="11"/>
  <c r="O154" i="11"/>
  <c r="W174" i="11"/>
  <c r="O174" i="11"/>
  <c r="G174" i="11"/>
  <c r="AF173" i="11"/>
  <c r="X173" i="11"/>
  <c r="P173" i="11"/>
  <c r="H173" i="11"/>
  <c r="AG172" i="11"/>
  <c r="Y172" i="11"/>
  <c r="Q172" i="11"/>
  <c r="I172" i="11"/>
  <c r="A172" i="11"/>
  <c r="Z171" i="11"/>
  <c r="R171" i="11"/>
  <c r="J171" i="11"/>
  <c r="B171" i="11"/>
  <c r="AA170" i="11"/>
  <c r="S170" i="11"/>
  <c r="K170" i="11"/>
  <c r="C170" i="11"/>
  <c r="AB169" i="11"/>
  <c r="T169" i="11"/>
  <c r="L169" i="11"/>
  <c r="D169" i="11"/>
  <c r="AC168" i="11"/>
  <c r="U168" i="11"/>
  <c r="M168" i="11"/>
  <c r="E168" i="11"/>
  <c r="AD167" i="11"/>
  <c r="V167" i="11"/>
  <c r="N167" i="11"/>
  <c r="F167" i="11"/>
  <c r="AE166" i="11"/>
  <c r="W166" i="11"/>
  <c r="O166" i="11"/>
  <c r="G166" i="11"/>
  <c r="AF165" i="11"/>
  <c r="X165" i="11"/>
  <c r="P165" i="11"/>
  <c r="H165" i="11"/>
  <c r="AG164" i="11"/>
  <c r="Y164" i="11"/>
  <c r="T164" i="11"/>
  <c r="P164" i="11"/>
  <c r="L164" i="11"/>
  <c r="H164" i="11"/>
  <c r="D164" i="11"/>
  <c r="AG163" i="11"/>
  <c r="AC163" i="11"/>
  <c r="Y163" i="11"/>
  <c r="U163" i="11"/>
  <c r="Q163" i="11"/>
  <c r="M163" i="11"/>
  <c r="I163" i="11"/>
  <c r="E163" i="11"/>
  <c r="A163" i="11"/>
  <c r="AD162" i="11"/>
  <c r="Z162" i="11"/>
  <c r="V162" i="11"/>
  <c r="R162" i="11"/>
  <c r="N162" i="11"/>
  <c r="J162" i="11"/>
  <c r="F162" i="11"/>
  <c r="B162" i="11"/>
  <c r="AE161" i="11"/>
  <c r="AA161" i="11"/>
  <c r="W161" i="11"/>
  <c r="S161" i="11"/>
  <c r="O161" i="11"/>
  <c r="K161" i="11"/>
  <c r="G161" i="11"/>
  <c r="C161" i="11"/>
  <c r="AF160" i="11"/>
  <c r="AB160" i="11"/>
  <c r="X160" i="11"/>
  <c r="T160" i="11"/>
  <c r="P160" i="11"/>
  <c r="L160" i="11"/>
  <c r="H160" i="11"/>
  <c r="D160" i="11"/>
  <c r="AG159" i="11"/>
  <c r="AC159" i="11"/>
  <c r="Y159" i="11"/>
  <c r="U159" i="11"/>
  <c r="Q159" i="11"/>
  <c r="M159" i="11"/>
  <c r="I159" i="11"/>
  <c r="E159" i="11"/>
  <c r="A159" i="11"/>
  <c r="AD158" i="11"/>
  <c r="Z158" i="11"/>
  <c r="V158" i="11"/>
  <c r="R158" i="11"/>
  <c r="N158" i="11"/>
  <c r="J158" i="11"/>
  <c r="F158" i="11"/>
  <c r="B158" i="11"/>
  <c r="AE157" i="11"/>
  <c r="AA157" i="11"/>
  <c r="W157" i="11"/>
  <c r="S157" i="11"/>
  <c r="O157" i="11"/>
  <c r="K157" i="11"/>
  <c r="G157" i="11"/>
  <c r="C157" i="11"/>
  <c r="AF156" i="11"/>
  <c r="AB156" i="11"/>
  <c r="X156" i="11"/>
  <c r="T156" i="11"/>
  <c r="P156" i="11"/>
  <c r="L156" i="11"/>
  <c r="H156" i="11"/>
  <c r="D156" i="11"/>
  <c r="AG155" i="11"/>
  <c r="AC155" i="11"/>
  <c r="Y155" i="11"/>
  <c r="U155" i="11"/>
  <c r="Q155" i="11"/>
  <c r="M155" i="11"/>
  <c r="I155" i="11"/>
  <c r="E155" i="11"/>
  <c r="A155" i="11"/>
  <c r="AD154" i="11"/>
  <c r="Z154" i="11"/>
  <c r="V154" i="11"/>
  <c r="R154" i="11"/>
  <c r="N154" i="11"/>
  <c r="M162" i="11"/>
  <c r="E162" i="11"/>
  <c r="AD161" i="11"/>
  <c r="V161" i="11"/>
  <c r="N161" i="11"/>
  <c r="F161" i="11"/>
  <c r="AE160" i="11"/>
  <c r="W160" i="11"/>
  <c r="O160" i="11"/>
  <c r="G160" i="11"/>
  <c r="AF159" i="11"/>
  <c r="X159" i="11"/>
  <c r="P159" i="11"/>
  <c r="H159" i="11"/>
  <c r="AG158" i="11"/>
  <c r="Y158" i="11"/>
  <c r="Q158" i="11"/>
  <c r="I158" i="11"/>
  <c r="A158" i="11"/>
  <c r="Z157" i="11"/>
  <c r="R157" i="11"/>
  <c r="J157" i="11"/>
  <c r="B157" i="11"/>
  <c r="AA156" i="11"/>
  <c r="S156" i="11"/>
  <c r="K156" i="11"/>
  <c r="C156" i="11"/>
  <c r="AB155" i="11"/>
  <c r="T155" i="11"/>
  <c r="L155" i="11"/>
  <c r="D155" i="11"/>
  <c r="AC154" i="11"/>
  <c r="U154" i="11"/>
  <c r="M154" i="11"/>
  <c r="I154" i="11"/>
  <c r="E154" i="11"/>
  <c r="A154" i="11"/>
  <c r="AD153" i="11"/>
  <c r="Z153" i="11"/>
  <c r="V153" i="11"/>
  <c r="R153" i="11"/>
  <c r="N153" i="11"/>
  <c r="J153" i="11"/>
  <c r="F153" i="11"/>
  <c r="B153" i="11"/>
  <c r="AE152" i="11"/>
  <c r="AA152" i="11"/>
  <c r="W152" i="11"/>
  <c r="S152" i="11"/>
  <c r="O152" i="11"/>
  <c r="K152" i="11"/>
  <c r="G152" i="11"/>
  <c r="C152" i="11"/>
  <c r="AF151" i="11"/>
  <c r="AB151" i="11"/>
  <c r="X151" i="11"/>
  <c r="T151" i="11"/>
  <c r="P151" i="11"/>
  <c r="L151" i="11"/>
  <c r="H151" i="11"/>
  <c r="D151" i="11"/>
  <c r="AG150" i="11"/>
  <c r="AC150" i="11"/>
  <c r="Y150" i="11"/>
  <c r="U150" i="11"/>
  <c r="Q150" i="11"/>
  <c r="M150" i="11"/>
  <c r="I150" i="11"/>
  <c r="E150" i="11"/>
  <c r="A150" i="11"/>
  <c r="AD149" i="11"/>
  <c r="Z149" i="11"/>
  <c r="V149" i="11"/>
  <c r="R149" i="11"/>
  <c r="N149" i="11"/>
  <c r="J149" i="11"/>
  <c r="F149" i="11"/>
  <c r="B149" i="11"/>
  <c r="AE148" i="11"/>
  <c r="AA148" i="11"/>
  <c r="W148" i="11"/>
  <c r="S148" i="11"/>
  <c r="O148" i="11"/>
  <c r="K148" i="11"/>
  <c r="G148" i="11"/>
  <c r="C148" i="11"/>
  <c r="AF147" i="11"/>
  <c r="AB147" i="11"/>
  <c r="X147" i="11"/>
  <c r="T147" i="11"/>
  <c r="P147" i="11"/>
  <c r="L147" i="11"/>
  <c r="H147" i="11"/>
  <c r="D147" i="11"/>
  <c r="AG146" i="11"/>
  <c r="AC146" i="11"/>
  <c r="Y146" i="11"/>
  <c r="U146" i="11"/>
  <c r="Q146" i="11"/>
  <c r="M146" i="11"/>
  <c r="I146" i="11"/>
  <c r="E146" i="11"/>
  <c r="A146" i="11"/>
  <c r="AD145" i="11"/>
  <c r="Z145" i="11"/>
  <c r="V145" i="11"/>
  <c r="R145" i="11"/>
  <c r="N145" i="11"/>
  <c r="J145" i="11"/>
  <c r="F145" i="11"/>
  <c r="B145" i="11"/>
  <c r="AE144" i="11"/>
  <c r="AA144" i="11"/>
  <c r="W144" i="11"/>
  <c r="S144" i="11"/>
  <c r="O144" i="11"/>
  <c r="K144" i="11"/>
  <c r="G144" i="11"/>
  <c r="C144" i="11"/>
  <c r="AF143" i="11"/>
  <c r="AB143" i="11"/>
  <c r="X143" i="11"/>
  <c r="T143" i="11"/>
  <c r="P143" i="11"/>
  <c r="L143" i="11"/>
  <c r="H143" i="11"/>
  <c r="D143" i="11"/>
  <c r="L162" i="11"/>
  <c r="D162" i="11"/>
  <c r="AC161" i="11"/>
  <c r="U161" i="11"/>
  <c r="M161" i="11"/>
  <c r="E161" i="11"/>
  <c r="AD160" i="11"/>
  <c r="V160" i="11"/>
  <c r="N160" i="11"/>
  <c r="F160" i="11"/>
  <c r="AE159" i="11"/>
  <c r="W159" i="11"/>
  <c r="O159" i="11"/>
  <c r="G159" i="11"/>
  <c r="AF158" i="11"/>
  <c r="X158" i="11"/>
  <c r="P158" i="11"/>
  <c r="H158" i="11"/>
  <c r="AG157" i="11"/>
  <c r="Y157" i="11"/>
  <c r="Q157" i="11"/>
  <c r="I157" i="11"/>
  <c r="A157" i="11"/>
  <c r="Z156" i="11"/>
  <c r="R156" i="11"/>
  <c r="J156" i="11"/>
  <c r="B156" i="11"/>
  <c r="AA155" i="11"/>
  <c r="S155" i="11"/>
  <c r="K155" i="11"/>
  <c r="C155" i="11"/>
  <c r="AB154" i="11"/>
  <c r="T154" i="11"/>
  <c r="L154" i="11"/>
  <c r="H154" i="11"/>
  <c r="D154" i="11"/>
  <c r="AG153" i="11"/>
  <c r="AC153" i="11"/>
  <c r="Y153" i="11"/>
  <c r="U153" i="11"/>
  <c r="Q153" i="11"/>
  <c r="M153" i="11"/>
  <c r="I153" i="11"/>
  <c r="E153" i="11"/>
  <c r="A153" i="11"/>
  <c r="AD152" i="11"/>
  <c r="Z152" i="11"/>
  <c r="V152" i="11"/>
  <c r="R152" i="11"/>
  <c r="N152" i="11"/>
  <c r="J152" i="11"/>
  <c r="F152" i="11"/>
  <c r="B152" i="11"/>
  <c r="AE151" i="11"/>
  <c r="AA151" i="11"/>
  <c r="W151" i="11"/>
  <c r="S151" i="11"/>
  <c r="O151" i="11"/>
  <c r="K151" i="11"/>
  <c r="G151" i="11"/>
  <c r="C151" i="11"/>
  <c r="AF150" i="11"/>
  <c r="AB150" i="11"/>
  <c r="X150" i="11"/>
  <c r="T150" i="11"/>
  <c r="P150" i="11"/>
  <c r="L150" i="11"/>
  <c r="H150" i="11"/>
  <c r="D150" i="11"/>
  <c r="AG149" i="11"/>
  <c r="AC149" i="11"/>
  <c r="Y149" i="11"/>
  <c r="U149" i="11"/>
  <c r="Q149" i="11"/>
  <c r="M149" i="11"/>
  <c r="I149" i="11"/>
  <c r="E149" i="11"/>
  <c r="A149" i="11"/>
  <c r="AD148" i="11"/>
  <c r="Z148" i="11"/>
  <c r="V148" i="11"/>
  <c r="R148" i="11"/>
  <c r="N148" i="11"/>
  <c r="J148" i="11"/>
  <c r="F148" i="11"/>
  <c r="B148" i="11"/>
  <c r="AE147" i="11"/>
  <c r="AA147" i="11"/>
  <c r="W147" i="11"/>
  <c r="S147" i="11"/>
  <c r="O147" i="11"/>
  <c r="K147" i="11"/>
  <c r="G147" i="11"/>
  <c r="C147" i="11"/>
  <c r="AF146" i="11"/>
  <c r="AB146" i="11"/>
  <c r="X146" i="11"/>
  <c r="T146" i="11"/>
  <c r="P146" i="11"/>
  <c r="L146" i="11"/>
  <c r="H146" i="11"/>
  <c r="D146" i="11"/>
  <c r="AG145" i="11"/>
  <c r="AC145" i="11"/>
  <c r="Y145" i="11"/>
  <c r="U145" i="11"/>
  <c r="Q145" i="11"/>
  <c r="M145" i="11"/>
  <c r="I145" i="11"/>
  <c r="E145" i="11"/>
  <c r="A145" i="11"/>
  <c r="AD144" i="11"/>
  <c r="Z144" i="11"/>
  <c r="V144" i="11"/>
  <c r="R144" i="11"/>
  <c r="N144" i="11"/>
  <c r="J144" i="11"/>
  <c r="F144" i="11"/>
  <c r="B144" i="11"/>
  <c r="AE143" i="11"/>
  <c r="AA143" i="11"/>
  <c r="W143" i="11"/>
  <c r="S143" i="11"/>
  <c r="O143" i="11"/>
  <c r="K143" i="11"/>
  <c r="G143" i="11"/>
  <c r="C143" i="11"/>
  <c r="I162" i="11"/>
  <c r="A162" i="11"/>
  <c r="Z161" i="11"/>
  <c r="R161" i="11"/>
  <c r="J161" i="11"/>
  <c r="B161" i="11"/>
  <c r="AA160" i="11"/>
  <c r="S160" i="11"/>
  <c r="K160" i="11"/>
  <c r="C160" i="11"/>
  <c r="AB159" i="11"/>
  <c r="T159" i="11"/>
  <c r="L159" i="11"/>
  <c r="D159" i="11"/>
  <c r="AC158" i="11"/>
  <c r="U158" i="11"/>
  <c r="M158" i="11"/>
  <c r="E158" i="11"/>
  <c r="AD157" i="11"/>
  <c r="V157" i="11"/>
  <c r="N157" i="11"/>
  <c r="F157" i="11"/>
  <c r="AE156" i="11"/>
  <c r="W156" i="11"/>
  <c r="O156" i="11"/>
  <c r="G156" i="11"/>
  <c r="AF155" i="11"/>
  <c r="X155" i="11"/>
  <c r="P155" i="11"/>
  <c r="H155" i="11"/>
  <c r="AG154" i="11"/>
  <c r="Y154" i="11"/>
  <c r="Q154" i="11"/>
  <c r="K154" i="11"/>
  <c r="G154" i="11"/>
  <c r="C154" i="11"/>
  <c r="AF153" i="11"/>
  <c r="AB153" i="11"/>
  <c r="X153" i="11"/>
  <c r="T153" i="11"/>
  <c r="P153" i="11"/>
  <c r="L153" i="11"/>
  <c r="H153" i="11"/>
  <c r="D153" i="11"/>
  <c r="AG152" i="11"/>
  <c r="AC152" i="11"/>
  <c r="Y152" i="11"/>
  <c r="U152" i="11"/>
  <c r="Q152" i="11"/>
  <c r="M152" i="11"/>
  <c r="I152" i="11"/>
  <c r="E152" i="11"/>
  <c r="A152" i="11"/>
  <c r="AD151" i="11"/>
  <c r="Z151" i="11"/>
  <c r="V151" i="11"/>
  <c r="R151" i="11"/>
  <c r="N151" i="11"/>
  <c r="J151" i="11"/>
  <c r="F151" i="11"/>
  <c r="B151" i="11"/>
  <c r="AE150" i="11"/>
  <c r="AA150" i="11"/>
  <c r="W150" i="11"/>
  <c r="S150" i="11"/>
  <c r="O150" i="11"/>
  <c r="K150" i="11"/>
  <c r="G150" i="11"/>
  <c r="C150" i="11"/>
  <c r="AF149" i="11"/>
  <c r="AB149" i="11"/>
  <c r="X149" i="11"/>
  <c r="T149" i="11"/>
  <c r="P149" i="11"/>
  <c r="L149" i="11"/>
  <c r="H149" i="11"/>
  <c r="D149" i="11"/>
  <c r="AG148" i="11"/>
  <c r="AC148" i="11"/>
  <c r="Y148" i="11"/>
  <c r="U148" i="11"/>
  <c r="Q148" i="11"/>
  <c r="M148" i="11"/>
  <c r="I148" i="11"/>
  <c r="E148" i="11"/>
  <c r="A148" i="11"/>
  <c r="AD147" i="11"/>
  <c r="Z147" i="11"/>
  <c r="V147" i="11"/>
  <c r="R147" i="11"/>
  <c r="N147" i="11"/>
  <c r="J147" i="11"/>
  <c r="F147" i="11"/>
  <c r="B147" i="11"/>
  <c r="AE146" i="11"/>
  <c r="AA146" i="11"/>
  <c r="W146" i="11"/>
  <c r="S146" i="11"/>
  <c r="O146" i="11"/>
  <c r="K146" i="11"/>
  <c r="G146" i="11"/>
  <c r="C146" i="11"/>
  <c r="AF145" i="11"/>
  <c r="AB145" i="11"/>
  <c r="X145" i="11"/>
  <c r="T145" i="11"/>
  <c r="P145" i="11"/>
  <c r="L145" i="11"/>
  <c r="H145" i="11"/>
  <c r="D145" i="11"/>
  <c r="AG144" i="11"/>
  <c r="AC144" i="11"/>
  <c r="Y144" i="11"/>
  <c r="U144" i="11"/>
  <c r="Q144" i="11"/>
  <c r="M144" i="11"/>
  <c r="I144" i="11"/>
  <c r="E144" i="11"/>
  <c r="A144" i="11"/>
  <c r="AD143" i="11"/>
  <c r="Z143" i="11"/>
  <c r="V143" i="11"/>
  <c r="R143" i="11"/>
  <c r="N143" i="11"/>
  <c r="J143" i="11"/>
  <c r="F143" i="11"/>
  <c r="B143" i="11"/>
  <c r="AE142" i="11"/>
  <c r="AA142" i="11"/>
  <c r="W142" i="11"/>
  <c r="S142" i="11"/>
  <c r="O142" i="11"/>
  <c r="K142" i="11"/>
  <c r="G142" i="11"/>
  <c r="C142" i="11"/>
  <c r="AF141" i="11"/>
  <c r="AB141" i="11"/>
  <c r="X141" i="11"/>
  <c r="T141" i="11"/>
  <c r="P141" i="11"/>
  <c r="L141" i="11"/>
  <c r="H141" i="11"/>
  <c r="D141" i="11"/>
  <c r="AG140" i="11"/>
  <c r="AC140" i="11"/>
  <c r="Y140" i="11"/>
  <c r="U140" i="11"/>
  <c r="Q140" i="11"/>
  <c r="M140" i="11"/>
  <c r="I140" i="11"/>
  <c r="E140" i="11"/>
  <c r="A140" i="11"/>
  <c r="AD139" i="11"/>
  <c r="Z139" i="11"/>
  <c r="V139" i="11"/>
  <c r="R139" i="11"/>
  <c r="N139" i="11"/>
  <c r="J139" i="11"/>
  <c r="F139" i="11"/>
  <c r="B139" i="11"/>
  <c r="AE138" i="11"/>
  <c r="AA138" i="11"/>
  <c r="W138" i="11"/>
  <c r="S138" i="11"/>
  <c r="H162" i="11"/>
  <c r="AG161" i="11"/>
  <c r="Y161" i="11"/>
  <c r="Q161" i="11"/>
  <c r="I161" i="11"/>
  <c r="A161" i="11"/>
  <c r="Z160" i="11"/>
  <c r="R160" i="11"/>
  <c r="J160" i="11"/>
  <c r="B160" i="11"/>
  <c r="AA159" i="11"/>
  <c r="S159" i="11"/>
  <c r="K159" i="11"/>
  <c r="C159" i="11"/>
  <c r="AB158" i="11"/>
  <c r="T158" i="11"/>
  <c r="L158" i="11"/>
  <c r="D158" i="11"/>
  <c r="AC157" i="11"/>
  <c r="U157" i="11"/>
  <c r="M157" i="11"/>
  <c r="E157" i="11"/>
  <c r="AD156" i="11"/>
  <c r="V156" i="11"/>
  <c r="N156" i="11"/>
  <c r="F156" i="11"/>
  <c r="AE155" i="11"/>
  <c r="W155" i="11"/>
  <c r="O155" i="11"/>
  <c r="G155" i="11"/>
  <c r="AF154" i="11"/>
  <c r="X154" i="11"/>
  <c r="P154" i="11"/>
  <c r="J154" i="11"/>
  <c r="F154" i="11"/>
  <c r="B154" i="11"/>
  <c r="AE153" i="11"/>
  <c r="AA153" i="11"/>
  <c r="W153" i="11"/>
  <c r="S153" i="11"/>
  <c r="O153" i="11"/>
  <c r="K153" i="11"/>
  <c r="G153" i="11"/>
  <c r="C153" i="11"/>
  <c r="AF152" i="11"/>
  <c r="AB152" i="11"/>
  <c r="X152" i="11"/>
  <c r="T152" i="11"/>
  <c r="P152" i="11"/>
  <c r="L152" i="11"/>
  <c r="H152" i="11"/>
  <c r="D152" i="11"/>
  <c r="AG151" i="11"/>
  <c r="AC151" i="11"/>
  <c r="Y151" i="11"/>
  <c r="U151" i="11"/>
  <c r="Q151" i="11"/>
  <c r="M151" i="11"/>
  <c r="I151" i="11"/>
  <c r="E151" i="11"/>
  <c r="A151" i="11"/>
  <c r="AD150" i="11"/>
  <c r="Z150" i="11"/>
  <c r="V150" i="11"/>
  <c r="R150" i="11"/>
  <c r="N150" i="11"/>
  <c r="J150" i="11"/>
  <c r="F150" i="11"/>
  <c r="B150" i="11"/>
  <c r="AE149" i="11"/>
  <c r="AA149" i="11"/>
  <c r="W149" i="11"/>
  <c r="S149" i="11"/>
  <c r="O149" i="11"/>
  <c r="K149" i="11"/>
  <c r="G149" i="11"/>
  <c r="C149" i="11"/>
  <c r="AF148" i="11"/>
  <c r="AB148" i="11"/>
  <c r="X148" i="11"/>
  <c r="T148" i="11"/>
  <c r="P148" i="11"/>
  <c r="L148" i="11"/>
  <c r="H148" i="11"/>
  <c r="D148" i="11"/>
  <c r="AG147" i="11"/>
  <c r="AC147" i="11"/>
  <c r="Y147" i="11"/>
  <c r="U147" i="11"/>
  <c r="Q147" i="11"/>
  <c r="M147" i="11"/>
  <c r="I147" i="11"/>
  <c r="E147" i="11"/>
  <c r="A147" i="11"/>
  <c r="AD146" i="11"/>
  <c r="Z146" i="11"/>
  <c r="V146" i="11"/>
  <c r="R146" i="11"/>
  <c r="N146" i="11"/>
  <c r="J146" i="11"/>
  <c r="F146" i="11"/>
  <c r="B146" i="11"/>
  <c r="AE145" i="11"/>
  <c r="AA145" i="11"/>
  <c r="W145" i="11"/>
  <c r="S145" i="11"/>
  <c r="O145" i="11"/>
  <c r="K145" i="11"/>
  <c r="G145" i="11"/>
  <c r="C145" i="11"/>
  <c r="AF144" i="11"/>
  <c r="AB144" i="11"/>
  <c r="X144" i="11"/>
  <c r="T144" i="11"/>
  <c r="P144" i="11"/>
  <c r="L144" i="11"/>
  <c r="H144" i="11"/>
  <c r="D144" i="11"/>
  <c r="AG143" i="11"/>
  <c r="AC143" i="11"/>
  <c r="Y143" i="11"/>
  <c r="U143" i="11"/>
  <c r="Q143" i="11"/>
  <c r="M143" i="11"/>
  <c r="I143" i="11"/>
  <c r="E143" i="11"/>
  <c r="A143" i="11"/>
  <c r="AD142" i="11"/>
  <c r="Z142" i="11"/>
  <c r="V142" i="11"/>
  <c r="R142" i="11"/>
  <c r="N142" i="11"/>
  <c r="J142" i="11"/>
  <c r="F142" i="11"/>
  <c r="B142" i="11"/>
  <c r="AE141" i="11"/>
  <c r="AA141" i="11"/>
  <c r="W141" i="11"/>
  <c r="S141" i="11"/>
  <c r="O141" i="11"/>
  <c r="K141" i="11"/>
  <c r="G141" i="11"/>
  <c r="C141" i="11"/>
  <c r="AF140" i="11"/>
  <c r="AB140" i="11"/>
  <c r="X140" i="11"/>
  <c r="T140" i="11"/>
  <c r="P140" i="11"/>
  <c r="L140" i="11"/>
  <c r="H140" i="11"/>
  <c r="D140" i="11"/>
  <c r="AG139" i="11"/>
  <c r="AC139" i="11"/>
  <c r="Y139" i="11"/>
  <c r="U139" i="11"/>
  <c r="Q139" i="11"/>
  <c r="M139" i="11"/>
  <c r="I139" i="11"/>
  <c r="E139" i="11"/>
  <c r="A139" i="11"/>
  <c r="AD138" i="11"/>
  <c r="Z138" i="11"/>
  <c r="V138" i="11"/>
  <c r="R138" i="11"/>
  <c r="N138" i="11"/>
  <c r="J138" i="11"/>
  <c r="F138" i="11"/>
  <c r="B138" i="11"/>
  <c r="AE137" i="11"/>
  <c r="AA137" i="11"/>
  <c r="W137" i="11"/>
  <c r="S137" i="11"/>
  <c r="O137" i="11"/>
  <c r="AG142" i="11"/>
  <c r="Y142" i="11"/>
  <c r="Q142" i="11"/>
  <c r="I142" i="11"/>
  <c r="A142" i="11"/>
  <c r="Z141" i="11"/>
  <c r="R141" i="11"/>
  <c r="J141" i="11"/>
  <c r="B141" i="11"/>
  <c r="AA140" i="11"/>
  <c r="S140" i="11"/>
  <c r="K140" i="11"/>
  <c r="C140" i="11"/>
  <c r="AB139" i="11"/>
  <c r="T139" i="11"/>
  <c r="L139" i="11"/>
  <c r="D139" i="11"/>
  <c r="AC138" i="11"/>
  <c r="U138" i="11"/>
  <c r="O138" i="11"/>
  <c r="I138" i="11"/>
  <c r="D138" i="11"/>
  <c r="AF137" i="11"/>
  <c r="Z137" i="11"/>
  <c r="U137" i="11"/>
  <c r="P137" i="11"/>
  <c r="K137" i="11"/>
  <c r="G137" i="11"/>
  <c r="C137" i="11"/>
  <c r="AF136" i="11"/>
  <c r="AB136" i="11"/>
  <c r="X136" i="11"/>
  <c r="T136" i="11"/>
  <c r="P136" i="11"/>
  <c r="L136" i="11"/>
  <c r="H136" i="11"/>
  <c r="D136" i="11"/>
  <c r="AG135" i="11"/>
  <c r="AC135" i="11"/>
  <c r="Y135" i="11"/>
  <c r="U135" i="11"/>
  <c r="Q135" i="11"/>
  <c r="M135" i="11"/>
  <c r="I135" i="11"/>
  <c r="E135" i="11"/>
  <c r="A135" i="11"/>
  <c r="AD134" i="11"/>
  <c r="Z134" i="11"/>
  <c r="V134" i="11"/>
  <c r="R134" i="11"/>
  <c r="N134" i="11"/>
  <c r="J134" i="11"/>
  <c r="F134" i="11"/>
  <c r="B134" i="11"/>
  <c r="AE133" i="11"/>
  <c r="AA133" i="11"/>
  <c r="W133" i="11"/>
  <c r="S133" i="11"/>
  <c r="O133" i="11"/>
  <c r="K133" i="11"/>
  <c r="G133" i="11"/>
  <c r="C133" i="11"/>
  <c r="AF132" i="11"/>
  <c r="AB132" i="11"/>
  <c r="X132" i="11"/>
  <c r="T132" i="11"/>
  <c r="P132" i="11"/>
  <c r="L132" i="11"/>
  <c r="H132" i="11"/>
  <c r="D132" i="11"/>
  <c r="AG131" i="11"/>
  <c r="AC131" i="11"/>
  <c r="Y131" i="11"/>
  <c r="U131" i="11"/>
  <c r="Q131" i="11"/>
  <c r="M131" i="11"/>
  <c r="I131" i="11"/>
  <c r="E131" i="11"/>
  <c r="A131" i="11"/>
  <c r="AD130" i="11"/>
  <c r="Z130" i="11"/>
  <c r="V130" i="11"/>
  <c r="R130" i="11"/>
  <c r="N130" i="11"/>
  <c r="J130" i="11"/>
  <c r="F130" i="11"/>
  <c r="B130" i="11"/>
  <c r="AE129" i="11"/>
  <c r="AA129" i="11"/>
  <c r="W129" i="11"/>
  <c r="S129" i="11"/>
  <c r="O129" i="11"/>
  <c r="K129" i="11"/>
  <c r="G129" i="11"/>
  <c r="C129" i="11"/>
  <c r="AF128" i="11"/>
  <c r="AB128" i="11"/>
  <c r="X128" i="11"/>
  <c r="T128" i="11"/>
  <c r="P128" i="11"/>
  <c r="L128" i="11"/>
  <c r="H128" i="11"/>
  <c r="D128" i="11"/>
  <c r="AG127" i="11"/>
  <c r="AC127" i="11"/>
  <c r="Y127" i="11"/>
  <c r="U127" i="11"/>
  <c r="Q127" i="11"/>
  <c r="M127" i="11"/>
  <c r="I127" i="11"/>
  <c r="E127" i="11"/>
  <c r="A127" i="11"/>
  <c r="AD126" i="11"/>
  <c r="Z126" i="11"/>
  <c r="V126" i="11"/>
  <c r="R126" i="11"/>
  <c r="N126" i="11"/>
  <c r="J126" i="11"/>
  <c r="F126" i="11"/>
  <c r="B126" i="11"/>
  <c r="AE125" i="11"/>
  <c r="AA125" i="11"/>
  <c r="W125" i="11"/>
  <c r="S125" i="11"/>
  <c r="O125" i="11"/>
  <c r="K125" i="11"/>
  <c r="G125" i="11"/>
  <c r="C125" i="11"/>
  <c r="AF124" i="11"/>
  <c r="AB124" i="11"/>
  <c r="X124" i="11"/>
  <c r="T124" i="11"/>
  <c r="P124" i="11"/>
  <c r="L124" i="11"/>
  <c r="H124" i="11"/>
  <c r="D124" i="11"/>
  <c r="AG123" i="11"/>
  <c r="AC123" i="11"/>
  <c r="Y123" i="11"/>
  <c r="U123" i="11"/>
  <c r="Q123" i="11"/>
  <c r="M123" i="11"/>
  <c r="I123" i="11"/>
  <c r="E123" i="11"/>
  <c r="A123" i="11"/>
  <c r="AD122" i="11"/>
  <c r="Z122" i="11"/>
  <c r="V122" i="11"/>
  <c r="R122" i="11"/>
  <c r="N122" i="11"/>
  <c r="J122" i="11"/>
  <c r="F122" i="11"/>
  <c r="B122" i="11"/>
  <c r="AE121" i="11"/>
  <c r="AA121" i="11"/>
  <c r="W121" i="11"/>
  <c r="S121" i="11"/>
  <c r="O121" i="11"/>
  <c r="K121" i="11"/>
  <c r="G121" i="11"/>
  <c r="C121" i="11"/>
  <c r="AF120" i="11"/>
  <c r="AB120" i="11"/>
  <c r="X120" i="11"/>
  <c r="T120" i="11"/>
  <c r="P120" i="11"/>
  <c r="L120" i="11"/>
  <c r="H120" i="11"/>
  <c r="D120" i="11"/>
  <c r="AG119" i="11"/>
  <c r="AC119" i="11"/>
  <c r="Y119" i="11"/>
  <c r="U119" i="11"/>
  <c r="Q119" i="11"/>
  <c r="M119" i="11"/>
  <c r="I119" i="11"/>
  <c r="E119" i="11"/>
  <c r="A119" i="11"/>
  <c r="AD118" i="11"/>
  <c r="Z118" i="11"/>
  <c r="V118" i="11"/>
  <c r="R118" i="11"/>
  <c r="N118" i="11"/>
  <c r="J118" i="11"/>
  <c r="F118" i="11"/>
  <c r="B118" i="11"/>
  <c r="AE117" i="11"/>
  <c r="AA117" i="11"/>
  <c r="W117" i="11"/>
  <c r="S117" i="11"/>
  <c r="O117" i="11"/>
  <c r="K117" i="11"/>
  <c r="G117" i="11"/>
  <c r="C117" i="11"/>
  <c r="AF116" i="11"/>
  <c r="AB116" i="11"/>
  <c r="X116" i="11"/>
  <c r="T116" i="11"/>
  <c r="P116" i="11"/>
  <c r="L116" i="11"/>
  <c r="H116" i="11"/>
  <c r="D116" i="11"/>
  <c r="AG115" i="11"/>
  <c r="AC115" i="11"/>
  <c r="Y115" i="11"/>
  <c r="U115" i="11"/>
  <c r="Q115" i="11"/>
  <c r="M115" i="11"/>
  <c r="I115" i="11"/>
  <c r="E115" i="11"/>
  <c r="A115" i="11"/>
  <c r="AD114" i="11"/>
  <c r="Z114" i="11"/>
  <c r="V114" i="11"/>
  <c r="R114" i="11"/>
  <c r="N114" i="11"/>
  <c r="J114" i="11"/>
  <c r="F114" i="11"/>
  <c r="B114" i="11"/>
  <c r="AE113" i="11"/>
  <c r="AA113" i="11"/>
  <c r="W113" i="11"/>
  <c r="S113" i="11"/>
  <c r="O113" i="11"/>
  <c r="K113" i="11"/>
  <c r="G113" i="11"/>
  <c r="C113" i="11"/>
  <c r="AF112" i="11"/>
  <c r="AB112" i="11"/>
  <c r="X112" i="11"/>
  <c r="T112" i="11"/>
  <c r="P112" i="11"/>
  <c r="L112" i="11"/>
  <c r="H112" i="11"/>
  <c r="D112" i="11"/>
  <c r="AG111" i="11"/>
  <c r="AC111" i="11"/>
  <c r="Y111" i="11"/>
  <c r="U111" i="11"/>
  <c r="Q111" i="11"/>
  <c r="M111" i="11"/>
  <c r="I111" i="11"/>
  <c r="E111" i="11"/>
  <c r="A111" i="11"/>
  <c r="AD110" i="11"/>
  <c r="Z110" i="11"/>
  <c r="V110" i="11"/>
  <c r="R110" i="11"/>
  <c r="N110" i="11"/>
  <c r="AF142" i="11"/>
  <c r="X142" i="11"/>
  <c r="P142" i="11"/>
  <c r="H142" i="11"/>
  <c r="AG141" i="11"/>
  <c r="Y141" i="11"/>
  <c r="Q141" i="11"/>
  <c r="I141" i="11"/>
  <c r="A141" i="11"/>
  <c r="Z140" i="11"/>
  <c r="R140" i="11"/>
  <c r="J140" i="11"/>
  <c r="B140" i="11"/>
  <c r="AA139" i="11"/>
  <c r="S139" i="11"/>
  <c r="K139" i="11"/>
  <c r="C139" i="11"/>
  <c r="AB138" i="11"/>
  <c r="T138" i="11"/>
  <c r="M138" i="11"/>
  <c r="H138" i="11"/>
  <c r="C138" i="11"/>
  <c r="AD137" i="11"/>
  <c r="Y137" i="11"/>
  <c r="T137" i="11"/>
  <c r="N137" i="11"/>
  <c r="J137" i="11"/>
  <c r="F137" i="11"/>
  <c r="B137" i="11"/>
  <c r="AE136" i="11"/>
  <c r="AA136" i="11"/>
  <c r="W136" i="11"/>
  <c r="S136" i="11"/>
  <c r="O136" i="11"/>
  <c r="K136" i="11"/>
  <c r="G136" i="11"/>
  <c r="C136" i="11"/>
  <c r="AF135" i="11"/>
  <c r="AB135" i="11"/>
  <c r="X135" i="11"/>
  <c r="T135" i="11"/>
  <c r="P135" i="11"/>
  <c r="L135" i="11"/>
  <c r="H135" i="11"/>
  <c r="D135" i="11"/>
  <c r="AG134" i="11"/>
  <c r="AC134" i="11"/>
  <c r="Y134" i="11"/>
  <c r="U134" i="11"/>
  <c r="Q134" i="11"/>
  <c r="M134" i="11"/>
  <c r="I134" i="11"/>
  <c r="E134" i="11"/>
  <c r="A134" i="11"/>
  <c r="AD133" i="11"/>
  <c r="Z133" i="11"/>
  <c r="V133" i="11"/>
  <c r="R133" i="11"/>
  <c r="N133" i="11"/>
  <c r="J133" i="11"/>
  <c r="F133" i="11"/>
  <c r="B133" i="11"/>
  <c r="AE132" i="11"/>
  <c r="AA132" i="11"/>
  <c r="W132" i="11"/>
  <c r="S132" i="11"/>
  <c r="O132" i="11"/>
  <c r="K132" i="11"/>
  <c r="G132" i="11"/>
  <c r="C132" i="11"/>
  <c r="AF131" i="11"/>
  <c r="AB131" i="11"/>
  <c r="X131" i="11"/>
  <c r="T131" i="11"/>
  <c r="P131" i="11"/>
  <c r="L131" i="11"/>
  <c r="H131" i="11"/>
  <c r="D131" i="11"/>
  <c r="AG130" i="11"/>
  <c r="AC130" i="11"/>
  <c r="Y130" i="11"/>
  <c r="U130" i="11"/>
  <c r="Q130" i="11"/>
  <c r="M130" i="11"/>
  <c r="I130" i="11"/>
  <c r="E130" i="11"/>
  <c r="A130" i="11"/>
  <c r="AD129" i="11"/>
  <c r="Z129" i="11"/>
  <c r="V129" i="11"/>
  <c r="R129" i="11"/>
  <c r="N129" i="11"/>
  <c r="J129" i="11"/>
  <c r="F129" i="11"/>
  <c r="B129" i="11"/>
  <c r="AE128" i="11"/>
  <c r="AA128" i="11"/>
  <c r="W128" i="11"/>
  <c r="S128" i="11"/>
  <c r="O128" i="11"/>
  <c r="K128" i="11"/>
  <c r="G128" i="11"/>
  <c r="C128" i="11"/>
  <c r="AF127" i="11"/>
  <c r="AB127" i="11"/>
  <c r="X127" i="11"/>
  <c r="T127" i="11"/>
  <c r="P127" i="11"/>
  <c r="L127" i="11"/>
  <c r="H127" i="11"/>
  <c r="D127" i="11"/>
  <c r="AG126" i="11"/>
  <c r="AC126" i="11"/>
  <c r="Y126" i="11"/>
  <c r="U126" i="11"/>
  <c r="Q126" i="11"/>
  <c r="M126" i="11"/>
  <c r="I126" i="11"/>
  <c r="E126" i="11"/>
  <c r="A126" i="11"/>
  <c r="AD125" i="11"/>
  <c r="Z125" i="11"/>
  <c r="V125" i="11"/>
  <c r="R125" i="11"/>
  <c r="N125" i="11"/>
  <c r="J125" i="11"/>
  <c r="F125" i="11"/>
  <c r="B125" i="11"/>
  <c r="AE124" i="11"/>
  <c r="AA124" i="11"/>
  <c r="W124" i="11"/>
  <c r="S124" i="11"/>
  <c r="O124" i="11"/>
  <c r="K124" i="11"/>
  <c r="G124" i="11"/>
  <c r="C124" i="11"/>
  <c r="AF123" i="11"/>
  <c r="AB123" i="11"/>
  <c r="X123" i="11"/>
  <c r="T123" i="11"/>
  <c r="P123" i="11"/>
  <c r="L123" i="11"/>
  <c r="H123" i="11"/>
  <c r="D123" i="11"/>
  <c r="AG122" i="11"/>
  <c r="AC122" i="11"/>
  <c r="Y122" i="11"/>
  <c r="U122" i="11"/>
  <c r="Q122" i="11"/>
  <c r="M122" i="11"/>
  <c r="I122" i="11"/>
  <c r="E122" i="11"/>
  <c r="A122" i="11"/>
  <c r="AD121" i="11"/>
  <c r="Z121" i="11"/>
  <c r="V121" i="11"/>
  <c r="R121" i="11"/>
  <c r="N121" i="11"/>
  <c r="J121" i="11"/>
  <c r="F121" i="11"/>
  <c r="B121" i="11"/>
  <c r="AE120" i="11"/>
  <c r="AA120" i="11"/>
  <c r="AC142" i="11"/>
  <c r="U142" i="11"/>
  <c r="M142" i="11"/>
  <c r="E142" i="11"/>
  <c r="AD141" i="11"/>
  <c r="V141" i="11"/>
  <c r="N141" i="11"/>
  <c r="F141" i="11"/>
  <c r="AE140" i="11"/>
  <c r="W140" i="11"/>
  <c r="O140" i="11"/>
  <c r="G140" i="11"/>
  <c r="AF139" i="11"/>
  <c r="X139" i="11"/>
  <c r="P139" i="11"/>
  <c r="H139" i="11"/>
  <c r="AG138" i="11"/>
  <c r="Y138" i="11"/>
  <c r="Q138" i="11"/>
  <c r="L138" i="11"/>
  <c r="G138" i="11"/>
  <c r="A138" i="11"/>
  <c r="AC137" i="11"/>
  <c r="X137" i="11"/>
  <c r="R137" i="11"/>
  <c r="M137" i="11"/>
  <c r="I137" i="11"/>
  <c r="E137" i="11"/>
  <c r="A137" i="11"/>
  <c r="AD136" i="11"/>
  <c r="Z136" i="11"/>
  <c r="V136" i="11"/>
  <c r="R136" i="11"/>
  <c r="N136" i="11"/>
  <c r="J136" i="11"/>
  <c r="F136" i="11"/>
  <c r="B136" i="11"/>
  <c r="AE135" i="11"/>
  <c r="AA135" i="11"/>
  <c r="W135" i="11"/>
  <c r="S135" i="11"/>
  <c r="O135" i="11"/>
  <c r="K135" i="11"/>
  <c r="G135" i="11"/>
  <c r="C135" i="11"/>
  <c r="AF134" i="11"/>
  <c r="AB134" i="11"/>
  <c r="X134" i="11"/>
  <c r="T134" i="11"/>
  <c r="P134" i="11"/>
  <c r="L134" i="11"/>
  <c r="H134" i="11"/>
  <c r="D134" i="11"/>
  <c r="AG133" i="11"/>
  <c r="AC133" i="11"/>
  <c r="Y133" i="11"/>
  <c r="U133" i="11"/>
  <c r="Q133" i="11"/>
  <c r="M133" i="11"/>
  <c r="I133" i="11"/>
  <c r="E133" i="11"/>
  <c r="A133" i="11"/>
  <c r="AD132" i="11"/>
  <c r="Z132" i="11"/>
  <c r="V132" i="11"/>
  <c r="R132" i="11"/>
  <c r="N132" i="11"/>
  <c r="J132" i="11"/>
  <c r="F132" i="11"/>
  <c r="B132" i="11"/>
  <c r="AE131" i="11"/>
  <c r="AA131" i="11"/>
  <c r="W131" i="11"/>
  <c r="S131" i="11"/>
  <c r="O131" i="11"/>
  <c r="K131" i="11"/>
  <c r="G131" i="11"/>
  <c r="C131" i="11"/>
  <c r="AF130" i="11"/>
  <c r="AB130" i="11"/>
  <c r="X130" i="11"/>
  <c r="T130" i="11"/>
  <c r="P130" i="11"/>
  <c r="L130" i="11"/>
  <c r="H130" i="11"/>
  <c r="D130" i="11"/>
  <c r="AG129" i="11"/>
  <c r="AC129" i="11"/>
  <c r="Y129" i="11"/>
  <c r="U129" i="11"/>
  <c r="Q129" i="11"/>
  <c r="M129" i="11"/>
  <c r="I129" i="11"/>
  <c r="E129" i="11"/>
  <c r="A129" i="11"/>
  <c r="AD128" i="11"/>
  <c r="Z128" i="11"/>
  <c r="V128" i="11"/>
  <c r="R128" i="11"/>
  <c r="N128" i="11"/>
  <c r="J128" i="11"/>
  <c r="F128" i="11"/>
  <c r="B128" i="11"/>
  <c r="AE127" i="11"/>
  <c r="AA127" i="11"/>
  <c r="W127" i="11"/>
  <c r="S127" i="11"/>
  <c r="O127" i="11"/>
  <c r="K127" i="11"/>
  <c r="G127" i="11"/>
  <c r="C127" i="11"/>
  <c r="AF126" i="11"/>
  <c r="AB126" i="11"/>
  <c r="X126" i="11"/>
  <c r="T126" i="11"/>
  <c r="P126" i="11"/>
  <c r="L126" i="11"/>
  <c r="H126" i="11"/>
  <c r="D126" i="11"/>
  <c r="AG125" i="11"/>
  <c r="AC125" i="11"/>
  <c r="Y125" i="11"/>
  <c r="U125" i="11"/>
  <c r="Q125" i="11"/>
  <c r="M125" i="11"/>
  <c r="I125" i="11"/>
  <c r="E125" i="11"/>
  <c r="A125" i="11"/>
  <c r="AD124" i="11"/>
  <c r="Z124" i="11"/>
  <c r="V124" i="11"/>
  <c r="R124" i="11"/>
  <c r="N124" i="11"/>
  <c r="J124" i="11"/>
  <c r="F124" i="11"/>
  <c r="B124" i="11"/>
  <c r="AE123" i="11"/>
  <c r="AA123" i="11"/>
  <c r="W123" i="11"/>
  <c r="S123" i="11"/>
  <c r="O123" i="11"/>
  <c r="K123" i="11"/>
  <c r="G123" i="11"/>
  <c r="C123" i="11"/>
  <c r="AF122" i="11"/>
  <c r="AB122" i="11"/>
  <c r="X122" i="11"/>
  <c r="T122" i="11"/>
  <c r="P122" i="11"/>
  <c r="L122" i="11"/>
  <c r="H122" i="11"/>
  <c r="D122" i="11"/>
  <c r="AG121" i="11"/>
  <c r="AC121" i="11"/>
  <c r="Y121" i="11"/>
  <c r="U121" i="11"/>
  <c r="Q121" i="11"/>
  <c r="M121" i="11"/>
  <c r="AB142" i="11"/>
  <c r="T142" i="11"/>
  <c r="L142" i="11"/>
  <c r="D142" i="11"/>
  <c r="AC141" i="11"/>
  <c r="U141" i="11"/>
  <c r="M141" i="11"/>
  <c r="E141" i="11"/>
  <c r="AD140" i="11"/>
  <c r="V140" i="11"/>
  <c r="N140" i="11"/>
  <c r="F140" i="11"/>
  <c r="AE139" i="11"/>
  <c r="W139" i="11"/>
  <c r="O139" i="11"/>
  <c r="G139" i="11"/>
  <c r="AF138" i="11"/>
  <c r="X138" i="11"/>
  <c r="P138" i="11"/>
  <c r="K138" i="11"/>
  <c r="E138" i="11"/>
  <c r="AG137" i="11"/>
  <c r="AB137" i="11"/>
  <c r="V137" i="11"/>
  <c r="Q137" i="11"/>
  <c r="L137" i="11"/>
  <c r="H137" i="11"/>
  <c r="D137" i="11"/>
  <c r="AG136" i="11"/>
  <c r="AC136" i="11"/>
  <c r="Y136" i="11"/>
  <c r="U136" i="11"/>
  <c r="Q136" i="11"/>
  <c r="M136" i="11"/>
  <c r="I136" i="11"/>
  <c r="E136" i="11"/>
  <c r="A136" i="11"/>
  <c r="AD135" i="11"/>
  <c r="Z135" i="11"/>
  <c r="V135" i="11"/>
  <c r="R135" i="11"/>
  <c r="N135" i="11"/>
  <c r="J135" i="11"/>
  <c r="F135" i="11"/>
  <c r="B135" i="11"/>
  <c r="AE134" i="11"/>
  <c r="AA134" i="11"/>
  <c r="W134" i="11"/>
  <c r="S134" i="11"/>
  <c r="O134" i="11"/>
  <c r="K134" i="11"/>
  <c r="G134" i="11"/>
  <c r="C134" i="11"/>
  <c r="AF133" i="11"/>
  <c r="AB133" i="11"/>
  <c r="X133" i="11"/>
  <c r="T133" i="11"/>
  <c r="P133" i="11"/>
  <c r="L133" i="11"/>
  <c r="H133" i="11"/>
  <c r="D133" i="11"/>
  <c r="AG132" i="11"/>
  <c r="AC132" i="11"/>
  <c r="Y132" i="11"/>
  <c r="U132" i="11"/>
  <c r="Q132" i="11"/>
  <c r="M132" i="11"/>
  <c r="I132" i="11"/>
  <c r="E132" i="11"/>
  <c r="A132" i="11"/>
  <c r="AD131" i="11"/>
  <c r="Z131" i="11"/>
  <c r="V131" i="11"/>
  <c r="R131" i="11"/>
  <c r="N131" i="11"/>
  <c r="J131" i="11"/>
  <c r="F131" i="11"/>
  <c r="B131" i="11"/>
  <c r="AE130" i="11"/>
  <c r="AA130" i="11"/>
  <c r="W130" i="11"/>
  <c r="S130" i="11"/>
  <c r="O130" i="11"/>
  <c r="K130" i="11"/>
  <c r="G130" i="11"/>
  <c r="C130" i="11"/>
  <c r="AF129" i="11"/>
  <c r="AB129" i="11"/>
  <c r="X129" i="11"/>
  <c r="T129" i="11"/>
  <c r="P129" i="11"/>
  <c r="L129" i="11"/>
  <c r="H129" i="11"/>
  <c r="D129" i="11"/>
  <c r="AG128" i="11"/>
  <c r="AC128" i="11"/>
  <c r="Y128" i="11"/>
  <c r="U128" i="11"/>
  <c r="Q128" i="11"/>
  <c r="M128" i="11"/>
  <c r="I128" i="11"/>
  <c r="E128" i="11"/>
  <c r="A128" i="11"/>
  <c r="AD127" i="11"/>
  <c r="Z127" i="11"/>
  <c r="V127" i="11"/>
  <c r="R127" i="11"/>
  <c r="N127" i="11"/>
  <c r="J127" i="11"/>
  <c r="F127" i="11"/>
  <c r="B127" i="11"/>
  <c r="AE126" i="11"/>
  <c r="AA126" i="11"/>
  <c r="W126" i="11"/>
  <c r="S126" i="11"/>
  <c r="O126" i="11"/>
  <c r="K126" i="11"/>
  <c r="G126" i="11"/>
  <c r="C126" i="11"/>
  <c r="AF125" i="11"/>
  <c r="AB125" i="11"/>
  <c r="X125" i="11"/>
  <c r="T125" i="11"/>
  <c r="P125" i="11"/>
  <c r="L125" i="11"/>
  <c r="H125" i="11"/>
  <c r="D125" i="11"/>
  <c r="AG124" i="11"/>
  <c r="AC124" i="11"/>
  <c r="Y124" i="11"/>
  <c r="U124" i="11"/>
  <c r="Q124" i="11"/>
  <c r="M124" i="11"/>
  <c r="I124" i="11"/>
  <c r="E124" i="11"/>
  <c r="A124" i="11"/>
  <c r="AD123" i="11"/>
  <c r="Z123" i="11"/>
  <c r="V123" i="11"/>
  <c r="R123" i="11"/>
  <c r="N123" i="11"/>
  <c r="J123" i="11"/>
  <c r="F123" i="11"/>
  <c r="B123" i="11"/>
  <c r="AE122" i="11"/>
  <c r="AA122" i="11"/>
  <c r="W122" i="11"/>
  <c r="S122" i="11"/>
  <c r="O122" i="11"/>
  <c r="K122" i="11"/>
  <c r="G122" i="11"/>
  <c r="C122" i="11"/>
  <c r="AF121" i="11"/>
  <c r="AB121" i="11"/>
  <c r="X121" i="11"/>
  <c r="T121" i="11"/>
  <c r="P121" i="11"/>
  <c r="L121" i="11"/>
  <c r="H121" i="11"/>
  <c r="D121" i="11"/>
  <c r="AG120" i="11"/>
  <c r="AC120" i="11"/>
  <c r="Y120" i="11"/>
  <c r="U120" i="11"/>
  <c r="Q120" i="11"/>
  <c r="M120" i="11"/>
  <c r="I120" i="11"/>
  <c r="E120" i="11"/>
  <c r="A120" i="11"/>
  <c r="AD119" i="11"/>
  <c r="Z119" i="11"/>
  <c r="V119" i="11"/>
  <c r="R119" i="11"/>
  <c r="N119" i="11"/>
  <c r="J119" i="11"/>
  <c r="F119" i="11"/>
  <c r="B119" i="11"/>
  <c r="AE118" i="11"/>
  <c r="AA118" i="11"/>
  <c r="W118" i="11"/>
  <c r="S118" i="11"/>
  <c r="O118" i="11"/>
  <c r="K118" i="11"/>
  <c r="G118" i="11"/>
  <c r="C118" i="11"/>
  <c r="AF117" i="11"/>
  <c r="AB117" i="11"/>
  <c r="X117" i="11"/>
  <c r="T117" i="11"/>
  <c r="P117" i="11"/>
  <c r="L117" i="11"/>
  <c r="H117" i="11"/>
  <c r="D117" i="11"/>
  <c r="AG116" i="11"/>
  <c r="AC116" i="11"/>
  <c r="Y116" i="11"/>
  <c r="U116" i="11"/>
  <c r="Q116" i="11"/>
  <c r="M116" i="11"/>
  <c r="I116" i="11"/>
  <c r="E116" i="11"/>
  <c r="A116" i="11"/>
  <c r="AD115" i="11"/>
  <c r="Z115" i="11"/>
  <c r="V115" i="11"/>
  <c r="R115" i="11"/>
  <c r="N115" i="11"/>
  <c r="J115" i="11"/>
  <c r="F115" i="11"/>
  <c r="B115" i="11"/>
  <c r="AE114" i="11"/>
  <c r="AA114" i="11"/>
  <c r="W114" i="11"/>
  <c r="S114" i="11"/>
  <c r="O114" i="11"/>
  <c r="K114" i="11"/>
  <c r="G114" i="11"/>
  <c r="C114" i="11"/>
  <c r="AF113" i="11"/>
  <c r="AB113" i="11"/>
  <c r="X113" i="11"/>
  <c r="T113" i="11"/>
  <c r="P113" i="11"/>
  <c r="L113" i="11"/>
  <c r="H113" i="11"/>
  <c r="D113" i="11"/>
  <c r="AG112" i="11"/>
  <c r="AC112" i="11"/>
  <c r="Y112" i="11"/>
  <c r="U112" i="11"/>
  <c r="Q112" i="11"/>
  <c r="M112" i="11"/>
  <c r="I112" i="11"/>
  <c r="E112" i="11"/>
  <c r="A112" i="11"/>
  <c r="AD111" i="11"/>
  <c r="Z111" i="11"/>
  <c r="V111" i="11"/>
  <c r="R111" i="11"/>
  <c r="N111" i="11"/>
  <c r="J111" i="11"/>
  <c r="F111" i="11"/>
  <c r="B111" i="11"/>
  <c r="AE110" i="11"/>
  <c r="AA110" i="11"/>
  <c r="W110" i="11"/>
  <c r="S110" i="11"/>
  <c r="O110" i="11"/>
  <c r="K110" i="11"/>
  <c r="G110" i="11"/>
  <c r="C110" i="11"/>
  <c r="AF109" i="11"/>
  <c r="AB109" i="11"/>
  <c r="X109" i="11"/>
  <c r="T109" i="11"/>
  <c r="I121" i="11"/>
  <c r="Z120" i="11"/>
  <c r="R120" i="11"/>
  <c r="J120" i="11"/>
  <c r="B120" i="11"/>
  <c r="AA119" i="11"/>
  <c r="S119" i="11"/>
  <c r="K119" i="11"/>
  <c r="C119" i="11"/>
  <c r="AB118" i="11"/>
  <c r="T118" i="11"/>
  <c r="L118" i="11"/>
  <c r="D118" i="11"/>
  <c r="AC117" i="11"/>
  <c r="U117" i="11"/>
  <c r="M117" i="11"/>
  <c r="E117" i="11"/>
  <c r="AD116" i="11"/>
  <c r="V116" i="11"/>
  <c r="N116" i="11"/>
  <c r="F116" i="11"/>
  <c r="AE115" i="11"/>
  <c r="W115" i="11"/>
  <c r="O115" i="11"/>
  <c r="G115" i="11"/>
  <c r="AF114" i="11"/>
  <c r="X114" i="11"/>
  <c r="P114" i="11"/>
  <c r="H114" i="11"/>
  <c r="AG113" i="11"/>
  <c r="Y113" i="11"/>
  <c r="Q113" i="11"/>
  <c r="I113" i="11"/>
  <c r="A113" i="11"/>
  <c r="Z112" i="11"/>
  <c r="R112" i="11"/>
  <c r="J112" i="11"/>
  <c r="B112" i="11"/>
  <c r="AA111" i="11"/>
  <c r="S111" i="11"/>
  <c r="K111" i="11"/>
  <c r="C111" i="11"/>
  <c r="AB110" i="11"/>
  <c r="T110" i="11"/>
  <c r="L110" i="11"/>
  <c r="F110" i="11"/>
  <c r="A110" i="11"/>
  <c r="AC109" i="11"/>
  <c r="W109" i="11"/>
  <c r="R109" i="11"/>
  <c r="N109" i="11"/>
  <c r="J109" i="11"/>
  <c r="F109" i="11"/>
  <c r="B109" i="11"/>
  <c r="AE108" i="11"/>
  <c r="AA108" i="11"/>
  <c r="W108" i="11"/>
  <c r="S108" i="11"/>
  <c r="O108" i="11"/>
  <c r="K108" i="11"/>
  <c r="G108" i="11"/>
  <c r="C108" i="11"/>
  <c r="AF107" i="11"/>
  <c r="AB107" i="11"/>
  <c r="X107" i="11"/>
  <c r="T107" i="11"/>
  <c r="P107" i="11"/>
  <c r="L107" i="11"/>
  <c r="H107" i="11"/>
  <c r="D107" i="11"/>
  <c r="AG106" i="11"/>
  <c r="AC106" i="11"/>
  <c r="Y106" i="11"/>
  <c r="U106" i="11"/>
  <c r="Q106" i="11"/>
  <c r="M106" i="11"/>
  <c r="I106" i="11"/>
  <c r="E106" i="11"/>
  <c r="A106" i="11"/>
  <c r="AD105" i="11"/>
  <c r="Z105" i="11"/>
  <c r="V105" i="11"/>
  <c r="R105" i="11"/>
  <c r="N105" i="11"/>
  <c r="J105" i="11"/>
  <c r="F105" i="11"/>
  <c r="B105" i="11"/>
  <c r="AE104" i="11"/>
  <c r="AA104" i="11"/>
  <c r="W104" i="11"/>
  <c r="S104" i="11"/>
  <c r="O104" i="11"/>
  <c r="K104" i="11"/>
  <c r="G104" i="11"/>
  <c r="C104" i="11"/>
  <c r="AF103" i="11"/>
  <c r="AB103" i="11"/>
  <c r="X103" i="11"/>
  <c r="T103" i="11"/>
  <c r="P103" i="11"/>
  <c r="L103" i="11"/>
  <c r="H103" i="11"/>
  <c r="D103" i="11"/>
  <c r="AG102" i="11"/>
  <c r="AC102" i="11"/>
  <c r="Y102" i="11"/>
  <c r="U102" i="11"/>
  <c r="Q102" i="11"/>
  <c r="M102" i="11"/>
  <c r="I102" i="11"/>
  <c r="E102" i="11"/>
  <c r="A102" i="11"/>
  <c r="AD101" i="11"/>
  <c r="Z101" i="11"/>
  <c r="V101" i="11"/>
  <c r="R101" i="11"/>
  <c r="N101" i="11"/>
  <c r="J101" i="11"/>
  <c r="F101" i="11"/>
  <c r="B101" i="11"/>
  <c r="AE100" i="11"/>
  <c r="AA100" i="11"/>
  <c r="W100" i="11"/>
  <c r="S100" i="11"/>
  <c r="O100" i="11"/>
  <c r="K100" i="11"/>
  <c r="G100" i="11"/>
  <c r="C100" i="11"/>
  <c r="AF99" i="11"/>
  <c r="AB99" i="11"/>
  <c r="X99" i="11"/>
  <c r="T99" i="11"/>
  <c r="P99" i="11"/>
  <c r="L99" i="11"/>
  <c r="H99" i="11"/>
  <c r="D99" i="11"/>
  <c r="AG98" i="11"/>
  <c r="AC98" i="11"/>
  <c r="Y98" i="11"/>
  <c r="U98" i="11"/>
  <c r="Q98" i="11"/>
  <c r="M98" i="11"/>
  <c r="I98" i="11"/>
  <c r="E98" i="11"/>
  <c r="A98" i="11"/>
  <c r="AD97" i="11"/>
  <c r="Z97" i="11"/>
  <c r="V97" i="11"/>
  <c r="R97" i="11"/>
  <c r="N97" i="11"/>
  <c r="J97" i="11"/>
  <c r="F97" i="11"/>
  <c r="B97" i="11"/>
  <c r="AE96" i="11"/>
  <c r="AA96" i="11"/>
  <c r="W96" i="11"/>
  <c r="S96" i="11"/>
  <c r="O96" i="11"/>
  <c r="K96" i="11"/>
  <c r="G96" i="11"/>
  <c r="C96" i="11"/>
  <c r="AF95" i="11"/>
  <c r="AB95" i="11"/>
  <c r="X95" i="11"/>
  <c r="T95" i="11"/>
  <c r="P95" i="11"/>
  <c r="L95" i="11"/>
  <c r="H95" i="11"/>
  <c r="D95" i="11"/>
  <c r="AG94" i="11"/>
  <c r="AC94" i="11"/>
  <c r="Y94" i="11"/>
  <c r="U94" i="11"/>
  <c r="Q94" i="11"/>
  <c r="M94" i="11"/>
  <c r="I94" i="11"/>
  <c r="E94" i="11"/>
  <c r="A94" i="11"/>
  <c r="AD93" i="11"/>
  <c r="Z93" i="11"/>
  <c r="V93" i="11"/>
  <c r="R93" i="11"/>
  <c r="N93" i="11"/>
  <c r="J93" i="11"/>
  <c r="F93" i="11"/>
  <c r="B93" i="11"/>
  <c r="AE92" i="11"/>
  <c r="AA92" i="11"/>
  <c r="W92" i="11"/>
  <c r="S92" i="11"/>
  <c r="O92" i="11"/>
  <c r="K92" i="11"/>
  <c r="G92" i="11"/>
  <c r="C92" i="11"/>
  <c r="AF91" i="11"/>
  <c r="AB91" i="11"/>
  <c r="X91" i="11"/>
  <c r="T91" i="11"/>
  <c r="P91" i="11"/>
  <c r="L91" i="11"/>
  <c r="H91" i="11"/>
  <c r="D91" i="11"/>
  <c r="AG90" i="11"/>
  <c r="AC90" i="11"/>
  <c r="Y90" i="11"/>
  <c r="U90" i="11"/>
  <c r="Q90" i="11"/>
  <c r="M90" i="11"/>
  <c r="I90" i="11"/>
  <c r="E90" i="11"/>
  <c r="A90" i="11"/>
  <c r="AD89" i="11"/>
  <c r="Z89" i="11"/>
  <c r="V89" i="11"/>
  <c r="R89" i="11"/>
  <c r="N89" i="11"/>
  <c r="J89" i="11"/>
  <c r="F89" i="11"/>
  <c r="B89" i="11"/>
  <c r="AE88" i="11"/>
  <c r="AA88" i="11"/>
  <c r="W88" i="11"/>
  <c r="S88" i="11"/>
  <c r="O88" i="11"/>
  <c r="K88" i="11"/>
  <c r="G88" i="11"/>
  <c r="C88" i="11"/>
  <c r="AF87" i="11"/>
  <c r="AB87" i="11"/>
  <c r="X87" i="11"/>
  <c r="T87" i="11"/>
  <c r="P87" i="11"/>
  <c r="L87" i="11"/>
  <c r="H87" i="11"/>
  <c r="D87" i="11"/>
  <c r="AG86" i="11"/>
  <c r="AC86" i="11"/>
  <c r="Y86" i="11"/>
  <c r="U86" i="11"/>
  <c r="Q86" i="11"/>
  <c r="M86" i="11"/>
  <c r="I86" i="11"/>
  <c r="E86" i="11"/>
  <c r="A86" i="11"/>
  <c r="AD85" i="11"/>
  <c r="Z85" i="11"/>
  <c r="V85" i="11"/>
  <c r="R85" i="11"/>
  <c r="N85" i="11"/>
  <c r="J85" i="11"/>
  <c r="F85" i="11"/>
  <c r="B85" i="11"/>
  <c r="AE84" i="11"/>
  <c r="AA84" i="11"/>
  <c r="W84" i="11"/>
  <c r="E121" i="11"/>
  <c r="W120" i="11"/>
  <c r="O120" i="11"/>
  <c r="G120" i="11"/>
  <c r="AF119" i="11"/>
  <c r="X119" i="11"/>
  <c r="P119" i="11"/>
  <c r="H119" i="11"/>
  <c r="AG118" i="11"/>
  <c r="Y118" i="11"/>
  <c r="Q118" i="11"/>
  <c r="I118" i="11"/>
  <c r="A118" i="11"/>
  <c r="Z117" i="11"/>
  <c r="R117" i="11"/>
  <c r="J117" i="11"/>
  <c r="B117" i="11"/>
  <c r="AA116" i="11"/>
  <c r="S116" i="11"/>
  <c r="K116" i="11"/>
  <c r="C116" i="11"/>
  <c r="AB115" i="11"/>
  <c r="T115" i="11"/>
  <c r="L115" i="11"/>
  <c r="D115" i="11"/>
  <c r="AC114" i="11"/>
  <c r="U114" i="11"/>
  <c r="M114" i="11"/>
  <c r="E114" i="11"/>
  <c r="AD113" i="11"/>
  <c r="V113" i="11"/>
  <c r="N113" i="11"/>
  <c r="F113" i="11"/>
  <c r="AE112" i="11"/>
  <c r="W112" i="11"/>
  <c r="O112" i="11"/>
  <c r="G112" i="11"/>
  <c r="AF111" i="11"/>
  <c r="X111" i="11"/>
  <c r="P111" i="11"/>
  <c r="H111" i="11"/>
  <c r="AG110" i="11"/>
  <c r="Y110" i="11"/>
  <c r="Q110" i="11"/>
  <c r="J110" i="11"/>
  <c r="E110" i="11"/>
  <c r="AG109" i="11"/>
  <c r="AA109" i="11"/>
  <c r="V109" i="11"/>
  <c r="Q109" i="11"/>
  <c r="M109" i="11"/>
  <c r="I109" i="11"/>
  <c r="E109" i="11"/>
  <c r="A109" i="11"/>
  <c r="AD108" i="11"/>
  <c r="Z108" i="11"/>
  <c r="V108" i="11"/>
  <c r="R108" i="11"/>
  <c r="N108" i="11"/>
  <c r="J108" i="11"/>
  <c r="F108" i="11"/>
  <c r="B108" i="11"/>
  <c r="AE107" i="11"/>
  <c r="AA107" i="11"/>
  <c r="W107" i="11"/>
  <c r="S107" i="11"/>
  <c r="O107" i="11"/>
  <c r="K107" i="11"/>
  <c r="G107" i="11"/>
  <c r="C107" i="11"/>
  <c r="AF106" i="11"/>
  <c r="AB106" i="11"/>
  <c r="X106" i="11"/>
  <c r="T106" i="11"/>
  <c r="P106" i="11"/>
  <c r="L106" i="11"/>
  <c r="H106" i="11"/>
  <c r="D106" i="11"/>
  <c r="AG105" i="11"/>
  <c r="AC105" i="11"/>
  <c r="Y105" i="11"/>
  <c r="U105" i="11"/>
  <c r="Q105" i="11"/>
  <c r="M105" i="11"/>
  <c r="I105" i="11"/>
  <c r="E105" i="11"/>
  <c r="A105" i="11"/>
  <c r="AD104" i="11"/>
  <c r="Z104" i="11"/>
  <c r="V104" i="11"/>
  <c r="R104" i="11"/>
  <c r="N104" i="11"/>
  <c r="J104" i="11"/>
  <c r="F104" i="11"/>
  <c r="B104" i="11"/>
  <c r="AE103" i="11"/>
  <c r="AA103" i="11"/>
  <c r="W103" i="11"/>
  <c r="S103" i="11"/>
  <c r="O103" i="11"/>
  <c r="K103" i="11"/>
  <c r="G103" i="11"/>
  <c r="C103" i="11"/>
  <c r="AF102" i="11"/>
  <c r="AB102" i="11"/>
  <c r="X102" i="11"/>
  <c r="T102" i="11"/>
  <c r="P102" i="11"/>
  <c r="L102" i="11"/>
  <c r="H102" i="11"/>
  <c r="D102" i="11"/>
  <c r="AG101" i="11"/>
  <c r="AC101" i="11"/>
  <c r="Y101" i="11"/>
  <c r="U101" i="11"/>
  <c r="Q101" i="11"/>
  <c r="M101" i="11"/>
  <c r="I101" i="11"/>
  <c r="E101" i="11"/>
  <c r="A101" i="11"/>
  <c r="AD100" i="11"/>
  <c r="Z100" i="11"/>
  <c r="V100" i="11"/>
  <c r="R100" i="11"/>
  <c r="N100" i="11"/>
  <c r="J100" i="11"/>
  <c r="F100" i="11"/>
  <c r="B100" i="11"/>
  <c r="AE99" i="11"/>
  <c r="AA99" i="11"/>
  <c r="W99" i="11"/>
  <c r="S99" i="11"/>
  <c r="O99" i="11"/>
  <c r="K99" i="11"/>
  <c r="G99" i="11"/>
  <c r="C99" i="11"/>
  <c r="AF98" i="11"/>
  <c r="AB98" i="11"/>
  <c r="X98" i="11"/>
  <c r="T98" i="11"/>
  <c r="P98" i="11"/>
  <c r="L98" i="11"/>
  <c r="H98" i="11"/>
  <c r="D98" i="11"/>
  <c r="AG97" i="11"/>
  <c r="AC97" i="11"/>
  <c r="Y97" i="11"/>
  <c r="U97" i="11"/>
  <c r="Q97" i="11"/>
  <c r="M97" i="11"/>
  <c r="I97" i="11"/>
  <c r="E97" i="11"/>
  <c r="A97" i="11"/>
  <c r="AD96" i="11"/>
  <c r="Z96" i="11"/>
  <c r="V96" i="11"/>
  <c r="R96" i="11"/>
  <c r="N96" i="11"/>
  <c r="J96" i="11"/>
  <c r="F96" i="11"/>
  <c r="B96" i="11"/>
  <c r="AE95" i="11"/>
  <c r="AA95" i="11"/>
  <c r="W95" i="11"/>
  <c r="S95" i="11"/>
  <c r="O95" i="11"/>
  <c r="K95" i="11"/>
  <c r="G95" i="11"/>
  <c r="C95" i="11"/>
  <c r="AF94" i="11"/>
  <c r="AB94" i="11"/>
  <c r="X94" i="11"/>
  <c r="T94" i="11"/>
  <c r="P94" i="11"/>
  <c r="L94" i="11"/>
  <c r="H94" i="11"/>
  <c r="D94" i="11"/>
  <c r="AG93" i="11"/>
  <c r="AC93" i="11"/>
  <c r="Y93" i="11"/>
  <c r="U93" i="11"/>
  <c r="Q93" i="11"/>
  <c r="M93" i="11"/>
  <c r="I93" i="11"/>
  <c r="E93" i="11"/>
  <c r="A93" i="11"/>
  <c r="AD92" i="11"/>
  <c r="Z92" i="11"/>
  <c r="V92" i="11"/>
  <c r="R92" i="11"/>
  <c r="N92" i="11"/>
  <c r="J92" i="11"/>
  <c r="F92" i="11"/>
  <c r="B92" i="11"/>
  <c r="AE91" i="11"/>
  <c r="AA91" i="11"/>
  <c r="W91" i="11"/>
  <c r="S91" i="11"/>
  <c r="O91" i="11"/>
  <c r="K91" i="11"/>
  <c r="G91" i="11"/>
  <c r="C91" i="11"/>
  <c r="AF90" i="11"/>
  <c r="AB90" i="11"/>
  <c r="X90" i="11"/>
  <c r="T90" i="11"/>
  <c r="P90" i="11"/>
  <c r="L90" i="11"/>
  <c r="H90" i="11"/>
  <c r="D90" i="11"/>
  <c r="AG89" i="11"/>
  <c r="AC89" i="11"/>
  <c r="Y89" i="11"/>
  <c r="U89" i="11"/>
  <c r="Q89" i="11"/>
  <c r="M89" i="11"/>
  <c r="I89" i="11"/>
  <c r="E89" i="11"/>
  <c r="A89" i="11"/>
  <c r="AD88" i="11"/>
  <c r="Z88" i="11"/>
  <c r="V88" i="11"/>
  <c r="R88" i="11"/>
  <c r="N88" i="11"/>
  <c r="J88" i="11"/>
  <c r="F88" i="11"/>
  <c r="B88" i="11"/>
  <c r="AE87" i="11"/>
  <c r="AA87" i="11"/>
  <c r="W87" i="11"/>
  <c r="S87" i="11"/>
  <c r="O87" i="11"/>
  <c r="K87" i="11"/>
  <c r="G87" i="11"/>
  <c r="C87" i="11"/>
  <c r="AF86" i="11"/>
  <c r="AB86" i="11"/>
  <c r="X86" i="11"/>
  <c r="T86" i="11"/>
  <c r="P86" i="11"/>
  <c r="L86" i="11"/>
  <c r="H86" i="11"/>
  <c r="D86" i="11"/>
  <c r="A121" i="11"/>
  <c r="V120" i="11"/>
  <c r="N120" i="11"/>
  <c r="F120" i="11"/>
  <c r="AE119" i="11"/>
  <c r="W119" i="11"/>
  <c r="O119" i="11"/>
  <c r="G119" i="11"/>
  <c r="AF118" i="11"/>
  <c r="X118" i="11"/>
  <c r="P118" i="11"/>
  <c r="H118" i="11"/>
  <c r="AG117" i="11"/>
  <c r="Y117" i="11"/>
  <c r="Q117" i="11"/>
  <c r="I117" i="11"/>
  <c r="A117" i="11"/>
  <c r="Z116" i="11"/>
  <c r="R116" i="11"/>
  <c r="J116" i="11"/>
  <c r="B116" i="11"/>
  <c r="AA115" i="11"/>
  <c r="S115" i="11"/>
  <c r="K115" i="11"/>
  <c r="C115" i="11"/>
  <c r="AB114" i="11"/>
  <c r="T114" i="11"/>
  <c r="L114" i="11"/>
  <c r="D114" i="11"/>
  <c r="AC113" i="11"/>
  <c r="U113" i="11"/>
  <c r="M113" i="11"/>
  <c r="E113" i="11"/>
  <c r="AD112" i="11"/>
  <c r="V112" i="11"/>
  <c r="N112" i="11"/>
  <c r="F112" i="11"/>
  <c r="AE111" i="11"/>
  <c r="W111" i="11"/>
  <c r="O111" i="11"/>
  <c r="G111" i="11"/>
  <c r="AF110" i="11"/>
  <c r="X110" i="11"/>
  <c r="P110" i="11"/>
  <c r="I110" i="11"/>
  <c r="D110" i="11"/>
  <c r="AE109" i="11"/>
  <c r="Z109" i="11"/>
  <c r="U109" i="11"/>
  <c r="P109" i="11"/>
  <c r="L109" i="11"/>
  <c r="H109" i="11"/>
  <c r="D109" i="11"/>
  <c r="AG108" i="11"/>
  <c r="AC108" i="11"/>
  <c r="Y108" i="11"/>
  <c r="U108" i="11"/>
  <c r="Q108" i="11"/>
  <c r="M108" i="11"/>
  <c r="I108" i="11"/>
  <c r="E108" i="11"/>
  <c r="A108" i="11"/>
  <c r="AD107" i="11"/>
  <c r="Z107" i="11"/>
  <c r="V107" i="11"/>
  <c r="R107" i="11"/>
  <c r="N107" i="11"/>
  <c r="J107" i="11"/>
  <c r="F107" i="11"/>
  <c r="B107" i="11"/>
  <c r="AE106" i="11"/>
  <c r="AA106" i="11"/>
  <c r="W106" i="11"/>
  <c r="S106" i="11"/>
  <c r="O106" i="11"/>
  <c r="K106" i="11"/>
  <c r="G106" i="11"/>
  <c r="C106" i="11"/>
  <c r="AF105" i="11"/>
  <c r="AB105" i="11"/>
  <c r="X105" i="11"/>
  <c r="T105" i="11"/>
  <c r="P105" i="11"/>
  <c r="L105" i="11"/>
  <c r="H105" i="11"/>
  <c r="D105" i="11"/>
  <c r="AG104" i="11"/>
  <c r="AC104" i="11"/>
  <c r="Y104" i="11"/>
  <c r="U104" i="11"/>
  <c r="Q104" i="11"/>
  <c r="M104" i="11"/>
  <c r="I104" i="11"/>
  <c r="E104" i="11"/>
  <c r="A104" i="11"/>
  <c r="AD103" i="11"/>
  <c r="Z103" i="11"/>
  <c r="V103" i="11"/>
  <c r="R103" i="11"/>
  <c r="N103" i="11"/>
  <c r="J103" i="11"/>
  <c r="F103" i="11"/>
  <c r="B103" i="11"/>
  <c r="AE102" i="11"/>
  <c r="AA102" i="11"/>
  <c r="W102" i="11"/>
  <c r="S102" i="11"/>
  <c r="O102" i="11"/>
  <c r="K102" i="11"/>
  <c r="G102" i="11"/>
  <c r="C102" i="11"/>
  <c r="AF101" i="11"/>
  <c r="AB101" i="11"/>
  <c r="X101" i="11"/>
  <c r="T101" i="11"/>
  <c r="P101" i="11"/>
  <c r="L101" i="11"/>
  <c r="H101" i="11"/>
  <c r="D101" i="11"/>
  <c r="AG100" i="11"/>
  <c r="AC100" i="11"/>
  <c r="Y100" i="11"/>
  <c r="U100" i="11"/>
  <c r="Q100" i="11"/>
  <c r="M100" i="11"/>
  <c r="I100" i="11"/>
  <c r="E100" i="11"/>
  <c r="A100" i="11"/>
  <c r="AD99" i="11"/>
  <c r="Z99" i="11"/>
  <c r="V99" i="11"/>
  <c r="R99" i="11"/>
  <c r="N99" i="11"/>
  <c r="J99" i="11"/>
  <c r="F99" i="11"/>
  <c r="B99" i="11"/>
  <c r="AE98" i="11"/>
  <c r="AA98" i="11"/>
  <c r="W98" i="11"/>
  <c r="S98" i="11"/>
  <c r="O98" i="11"/>
  <c r="K98" i="11"/>
  <c r="G98" i="11"/>
  <c r="C98" i="11"/>
  <c r="AF97" i="11"/>
  <c r="AB97" i="11"/>
  <c r="X97" i="11"/>
  <c r="T97" i="11"/>
  <c r="P97" i="11"/>
  <c r="L97" i="11"/>
  <c r="H97" i="11"/>
  <c r="D97" i="11"/>
  <c r="AG96" i="11"/>
  <c r="AC96" i="11"/>
  <c r="Y96" i="11"/>
  <c r="U96" i="11"/>
  <c r="Q96" i="11"/>
  <c r="M96" i="11"/>
  <c r="I96" i="11"/>
  <c r="E96" i="11"/>
  <c r="A96" i="11"/>
  <c r="AD95" i="11"/>
  <c r="Z95" i="11"/>
  <c r="V95" i="11"/>
  <c r="R95" i="11"/>
  <c r="N95" i="11"/>
  <c r="J95" i="11"/>
  <c r="F95" i="11"/>
  <c r="B95" i="11"/>
  <c r="AE94" i="11"/>
  <c r="AA94" i="11"/>
  <c r="W94" i="11"/>
  <c r="S94" i="11"/>
  <c r="O94" i="11"/>
  <c r="K94" i="11"/>
  <c r="G94" i="11"/>
  <c r="C94" i="11"/>
  <c r="AF93" i="11"/>
  <c r="AB93" i="11"/>
  <c r="X93" i="11"/>
  <c r="T93" i="11"/>
  <c r="P93" i="11"/>
  <c r="L93" i="11"/>
  <c r="H93" i="11"/>
  <c r="D93" i="11"/>
  <c r="AG92" i="11"/>
  <c r="AC92" i="11"/>
  <c r="Y92" i="11"/>
  <c r="U92" i="11"/>
  <c r="Q92" i="11"/>
  <c r="M92" i="11"/>
  <c r="I92" i="11"/>
  <c r="E92" i="11"/>
  <c r="A92" i="11"/>
  <c r="AD91" i="11"/>
  <c r="Z91" i="11"/>
  <c r="V91" i="11"/>
  <c r="R91" i="11"/>
  <c r="N91" i="11"/>
  <c r="J91" i="11"/>
  <c r="F91" i="11"/>
  <c r="B91" i="11"/>
  <c r="AE90" i="11"/>
  <c r="AA90" i="11"/>
  <c r="W90" i="11"/>
  <c r="S90" i="11"/>
  <c r="O90" i="11"/>
  <c r="K90" i="11"/>
  <c r="G90" i="11"/>
  <c r="C90" i="11"/>
  <c r="AF89" i="11"/>
  <c r="AB89" i="11"/>
  <c r="X89" i="11"/>
  <c r="T89" i="11"/>
  <c r="P89" i="11"/>
  <c r="L89" i="11"/>
  <c r="H89" i="11"/>
  <c r="D89" i="11"/>
  <c r="AG88" i="11"/>
  <c r="AC88" i="11"/>
  <c r="Y88" i="11"/>
  <c r="U88" i="11"/>
  <c r="Q88" i="11"/>
  <c r="M88" i="11"/>
  <c r="I88" i="11"/>
  <c r="E88" i="11"/>
  <c r="A88" i="11"/>
  <c r="AD87" i="11"/>
  <c r="Z87" i="11"/>
  <c r="V87" i="11"/>
  <c r="R87" i="11"/>
  <c r="N87" i="11"/>
  <c r="J87" i="11"/>
  <c r="F87" i="11"/>
  <c r="B87" i="11"/>
  <c r="AE86" i="11"/>
  <c r="AA86" i="11"/>
  <c r="W86" i="11"/>
  <c r="S86" i="11"/>
  <c r="O86" i="11"/>
  <c r="K86" i="11"/>
  <c r="G86" i="11"/>
  <c r="C86" i="11"/>
  <c r="AD120" i="11"/>
  <c r="S120" i="11"/>
  <c r="K120" i="11"/>
  <c r="C120" i="11"/>
  <c r="AB119" i="11"/>
  <c r="T119" i="11"/>
  <c r="L119" i="11"/>
  <c r="D119" i="11"/>
  <c r="AC118" i="11"/>
  <c r="U118" i="11"/>
  <c r="M118" i="11"/>
  <c r="E118" i="11"/>
  <c r="AD117" i="11"/>
  <c r="V117" i="11"/>
  <c r="N117" i="11"/>
  <c r="F117" i="11"/>
  <c r="AE116" i="11"/>
  <c r="W116" i="11"/>
  <c r="O116" i="11"/>
  <c r="G116" i="11"/>
  <c r="AF115" i="11"/>
  <c r="X115" i="11"/>
  <c r="P115" i="11"/>
  <c r="H115" i="11"/>
  <c r="AG114" i="11"/>
  <c r="Y114" i="11"/>
  <c r="Q114" i="11"/>
  <c r="I114" i="11"/>
  <c r="A114" i="11"/>
  <c r="Z113" i="11"/>
  <c r="R113" i="11"/>
  <c r="J113" i="11"/>
  <c r="B113" i="11"/>
  <c r="AA112" i="11"/>
  <c r="S112" i="11"/>
  <c r="K112" i="11"/>
  <c r="C112" i="11"/>
  <c r="AB111" i="11"/>
  <c r="T111" i="11"/>
  <c r="L111" i="11"/>
  <c r="D111" i="11"/>
  <c r="AC110" i="11"/>
  <c r="U110" i="11"/>
  <c r="M110" i="11"/>
  <c r="H110" i="11"/>
  <c r="B110" i="11"/>
  <c r="AD109" i="11"/>
  <c r="Y109" i="11"/>
  <c r="S109" i="11"/>
  <c r="O109" i="11"/>
  <c r="K109" i="11"/>
  <c r="G109" i="11"/>
  <c r="C109" i="11"/>
  <c r="AF108" i="11"/>
  <c r="AB108" i="11"/>
  <c r="X108" i="11"/>
  <c r="T108" i="11"/>
  <c r="P108" i="11"/>
  <c r="L108" i="11"/>
  <c r="H108" i="11"/>
  <c r="D108" i="11"/>
  <c r="AG107" i="11"/>
  <c r="AC107" i="11"/>
  <c r="Y107" i="11"/>
  <c r="U107" i="11"/>
  <c r="Q107" i="11"/>
  <c r="M107" i="11"/>
  <c r="I107" i="11"/>
  <c r="E107" i="11"/>
  <c r="A107" i="11"/>
  <c r="AD106" i="11"/>
  <c r="Z106" i="11"/>
  <c r="V106" i="11"/>
  <c r="R106" i="11"/>
  <c r="N106" i="11"/>
  <c r="J106" i="11"/>
  <c r="F106" i="11"/>
  <c r="B106" i="11"/>
  <c r="AE105" i="11"/>
  <c r="AA105" i="11"/>
  <c r="W105" i="11"/>
  <c r="S105" i="11"/>
  <c r="O105" i="11"/>
  <c r="K105" i="11"/>
  <c r="G105" i="11"/>
  <c r="C105" i="11"/>
  <c r="AF104" i="11"/>
  <c r="AB104" i="11"/>
  <c r="X104" i="11"/>
  <c r="T104" i="11"/>
  <c r="P104" i="11"/>
  <c r="L104" i="11"/>
  <c r="H104" i="11"/>
  <c r="D104" i="11"/>
  <c r="AG103" i="11"/>
  <c r="AC103" i="11"/>
  <c r="Y103" i="11"/>
  <c r="U103" i="11"/>
  <c r="Q103" i="11"/>
  <c r="M103" i="11"/>
  <c r="I103" i="11"/>
  <c r="E103" i="11"/>
  <c r="A103" i="11"/>
  <c r="AD102" i="11"/>
  <c r="Z102" i="11"/>
  <c r="V102" i="11"/>
  <c r="R102" i="11"/>
  <c r="N102" i="11"/>
  <c r="J102" i="11"/>
  <c r="F102" i="11"/>
  <c r="B102" i="11"/>
  <c r="AE101" i="11"/>
  <c r="AA101" i="11"/>
  <c r="W101" i="11"/>
  <c r="S101" i="11"/>
  <c r="O101" i="11"/>
  <c r="K101" i="11"/>
  <c r="G101" i="11"/>
  <c r="C101" i="11"/>
  <c r="AF100" i="11"/>
  <c r="AB100" i="11"/>
  <c r="X100" i="11"/>
  <c r="T100" i="11"/>
  <c r="P100" i="11"/>
  <c r="L100" i="11"/>
  <c r="H100" i="11"/>
  <c r="D100" i="11"/>
  <c r="AG99" i="11"/>
  <c r="AC99" i="11"/>
  <c r="Y99" i="11"/>
  <c r="U99" i="11"/>
  <c r="Q99" i="11"/>
  <c r="M99" i="11"/>
  <c r="I99" i="11"/>
  <c r="E99" i="11"/>
  <c r="A99" i="11"/>
  <c r="AD98" i="11"/>
  <c r="Z98" i="11"/>
  <c r="V98" i="11"/>
  <c r="R98" i="11"/>
  <c r="N98" i="11"/>
  <c r="J98" i="11"/>
  <c r="F98" i="11"/>
  <c r="B98" i="11"/>
  <c r="AE97" i="11"/>
  <c r="AA97" i="11"/>
  <c r="W97" i="11"/>
  <c r="S97" i="11"/>
  <c r="O97" i="11"/>
  <c r="K97" i="11"/>
  <c r="G97" i="11"/>
  <c r="C97" i="11"/>
  <c r="AF96" i="11"/>
  <c r="AB96" i="11"/>
  <c r="X96" i="11"/>
  <c r="T96" i="11"/>
  <c r="P96" i="11"/>
  <c r="L96" i="11"/>
  <c r="H96" i="11"/>
  <c r="D96" i="11"/>
  <c r="AG95" i="11"/>
  <c r="AC95" i="11"/>
  <c r="Y95" i="11"/>
  <c r="U95" i="11"/>
  <c r="Q95" i="11"/>
  <c r="M95" i="11"/>
  <c r="I95" i="11"/>
  <c r="E95" i="11"/>
  <c r="A95" i="11"/>
  <c r="AD94" i="11"/>
  <c r="Z94" i="11"/>
  <c r="V94" i="11"/>
  <c r="R94" i="11"/>
  <c r="N94" i="11"/>
  <c r="J94" i="11"/>
  <c r="F94" i="11"/>
  <c r="B94" i="11"/>
  <c r="AE93" i="11"/>
  <c r="AA93" i="11"/>
  <c r="W93" i="11"/>
  <c r="S93" i="11"/>
  <c r="O93" i="11"/>
  <c r="K93" i="11"/>
  <c r="G93" i="11"/>
  <c r="C93" i="11"/>
  <c r="AF92" i="11"/>
  <c r="AB92" i="11"/>
  <c r="X92" i="11"/>
  <c r="T92" i="11"/>
  <c r="P92" i="11"/>
  <c r="L92" i="11"/>
  <c r="H92" i="11"/>
  <c r="D92" i="11"/>
  <c r="AG91" i="11"/>
  <c r="AC91" i="11"/>
  <c r="Y91" i="11"/>
  <c r="U91" i="11"/>
  <c r="Q91" i="11"/>
  <c r="M91" i="11"/>
  <c r="I91" i="11"/>
  <c r="E91" i="11"/>
  <c r="A91" i="11"/>
  <c r="AD90" i="11"/>
  <c r="Z90" i="11"/>
  <c r="V90" i="11"/>
  <c r="R90" i="11"/>
  <c r="N90" i="11"/>
  <c r="J90" i="11"/>
  <c r="F90" i="11"/>
  <c r="B90" i="11"/>
  <c r="AE89" i="11"/>
  <c r="AA89" i="11"/>
  <c r="W89" i="11"/>
  <c r="S89" i="11"/>
  <c r="O89" i="11"/>
  <c r="K89" i="11"/>
  <c r="G89" i="11"/>
  <c r="C89" i="11"/>
  <c r="AF88" i="11"/>
  <c r="AB88" i="11"/>
  <c r="X88" i="11"/>
  <c r="T88" i="11"/>
  <c r="P88" i="11"/>
  <c r="L88" i="11"/>
  <c r="H88" i="11"/>
  <c r="D88" i="11"/>
  <c r="AG87" i="11"/>
  <c r="AC87" i="11"/>
  <c r="Y87" i="11"/>
  <c r="U87" i="11"/>
  <c r="Q87" i="11"/>
  <c r="M87" i="11"/>
  <c r="I87" i="11"/>
  <c r="E87" i="11"/>
  <c r="A87" i="11"/>
  <c r="AD86" i="11"/>
  <c r="Z86" i="11"/>
  <c r="V86" i="11"/>
  <c r="R86" i="11"/>
  <c r="N86" i="11"/>
  <c r="J86" i="11"/>
  <c r="F86" i="11"/>
  <c r="B86" i="11"/>
  <c r="AE85" i="11"/>
  <c r="AA85" i="11"/>
  <c r="W85" i="11"/>
  <c r="AG85" i="11"/>
  <c r="Y85" i="11"/>
  <c r="S85" i="11"/>
  <c r="M85" i="11"/>
  <c r="H85" i="11"/>
  <c r="C85" i="11"/>
  <c r="AD84" i="11"/>
  <c r="Y84" i="11"/>
  <c r="T84" i="11"/>
  <c r="P84" i="11"/>
  <c r="L84" i="11"/>
  <c r="H84" i="11"/>
  <c r="D84" i="11"/>
  <c r="AG83" i="11"/>
  <c r="AC83" i="11"/>
  <c r="Y83" i="11"/>
  <c r="U83" i="11"/>
  <c r="Q83" i="11"/>
  <c r="M83" i="11"/>
  <c r="I83" i="11"/>
  <c r="E83" i="11"/>
  <c r="A83" i="11"/>
  <c r="AD82" i="11"/>
  <c r="Z82" i="11"/>
  <c r="V82" i="11"/>
  <c r="R82" i="11"/>
  <c r="N82" i="11"/>
  <c r="J82" i="11"/>
  <c r="F82" i="11"/>
  <c r="B82" i="11"/>
  <c r="AE81" i="11"/>
  <c r="AA81" i="11"/>
  <c r="W81" i="11"/>
  <c r="S81" i="11"/>
  <c r="O81" i="11"/>
  <c r="K81" i="11"/>
  <c r="G81" i="11"/>
  <c r="C81" i="11"/>
  <c r="AF80" i="11"/>
  <c r="AB80" i="11"/>
  <c r="X80" i="11"/>
  <c r="T80" i="11"/>
  <c r="P80" i="11"/>
  <c r="L80" i="11"/>
  <c r="H80" i="11"/>
  <c r="D80" i="11"/>
  <c r="AG79" i="11"/>
  <c r="AC79" i="11"/>
  <c r="Y79" i="11"/>
  <c r="U79" i="11"/>
  <c r="Q79" i="11"/>
  <c r="M79" i="11"/>
  <c r="I79" i="11"/>
  <c r="E79" i="11"/>
  <c r="A79" i="11"/>
  <c r="AD78" i="11"/>
  <c r="Z78" i="11"/>
  <c r="V78" i="11"/>
  <c r="R78" i="11"/>
  <c r="N78" i="11"/>
  <c r="J78" i="11"/>
  <c r="F78" i="11"/>
  <c r="B78" i="11"/>
  <c r="AE77" i="11"/>
  <c r="AA77" i="11"/>
  <c r="W77" i="11"/>
  <c r="S77" i="11"/>
  <c r="O77" i="11"/>
  <c r="K77" i="11"/>
  <c r="G77" i="11"/>
  <c r="C77" i="11"/>
  <c r="AF76" i="11"/>
  <c r="AB76" i="11"/>
  <c r="X76" i="11"/>
  <c r="T76" i="11"/>
  <c r="P76" i="11"/>
  <c r="L76" i="11"/>
  <c r="H76" i="11"/>
  <c r="D76" i="11"/>
  <c r="AG75" i="11"/>
  <c r="AC75" i="11"/>
  <c r="Y75" i="11"/>
  <c r="U75" i="11"/>
  <c r="Q75" i="11"/>
  <c r="M75" i="11"/>
  <c r="I75" i="11"/>
  <c r="E75" i="11"/>
  <c r="A75" i="11"/>
  <c r="AD74" i="11"/>
  <c r="Z74" i="11"/>
  <c r="V74" i="11"/>
  <c r="R74" i="11"/>
  <c r="N74" i="11"/>
  <c r="J74" i="11"/>
  <c r="F74" i="11"/>
  <c r="B74" i="11"/>
  <c r="AE73" i="11"/>
  <c r="AA73" i="11"/>
  <c r="W73" i="11"/>
  <c r="S73" i="11"/>
  <c r="O73" i="11"/>
  <c r="K73" i="11"/>
  <c r="G73" i="11"/>
  <c r="C73" i="11"/>
  <c r="AF72" i="11"/>
  <c r="AB72" i="11"/>
  <c r="X72" i="11"/>
  <c r="T72" i="11"/>
  <c r="P72" i="11"/>
  <c r="L72" i="11"/>
  <c r="H72" i="11"/>
  <c r="D72" i="11"/>
  <c r="AG71" i="11"/>
  <c r="AC71" i="11"/>
  <c r="Y71" i="11"/>
  <c r="U71" i="11"/>
  <c r="Q71" i="11"/>
  <c r="M71" i="11"/>
  <c r="I71" i="11"/>
  <c r="E71" i="11"/>
  <c r="A71" i="11"/>
  <c r="AD70" i="11"/>
  <c r="Z70" i="11"/>
  <c r="V70" i="11"/>
  <c r="R70" i="11"/>
  <c r="N70" i="11"/>
  <c r="J70" i="11"/>
  <c r="F70" i="11"/>
  <c r="B70" i="11"/>
  <c r="AE69" i="11"/>
  <c r="AA69" i="11"/>
  <c r="W69" i="11"/>
  <c r="S69" i="11"/>
  <c r="O69" i="11"/>
  <c r="K69" i="11"/>
  <c r="G69" i="11"/>
  <c r="C69" i="11"/>
  <c r="AF68" i="11"/>
  <c r="AB68" i="11"/>
  <c r="X68" i="11"/>
  <c r="T68" i="11"/>
  <c r="P68" i="11"/>
  <c r="L68" i="11"/>
  <c r="H68" i="11"/>
  <c r="D68" i="11"/>
  <c r="AG67" i="11"/>
  <c r="AC67" i="11"/>
  <c r="Y67" i="11"/>
  <c r="U67" i="11"/>
  <c r="Q67" i="11"/>
  <c r="M67" i="11"/>
  <c r="I67" i="11"/>
  <c r="E67" i="11"/>
  <c r="A67" i="11"/>
  <c r="AD66" i="11"/>
  <c r="Z66" i="11"/>
  <c r="V66" i="11"/>
  <c r="R66" i="11"/>
  <c r="N66" i="11"/>
  <c r="J66" i="11"/>
  <c r="F66" i="11"/>
  <c r="B66" i="11"/>
  <c r="AE65" i="11"/>
  <c r="AA65" i="11"/>
  <c r="W65" i="11"/>
  <c r="S65" i="11"/>
  <c r="O65" i="11"/>
  <c r="K65" i="11"/>
  <c r="G65" i="11"/>
  <c r="C65" i="11"/>
  <c r="AF64" i="11"/>
  <c r="AB64" i="11"/>
  <c r="X64" i="11"/>
  <c r="T64" i="11"/>
  <c r="P64" i="11"/>
  <c r="L64" i="11"/>
  <c r="H64" i="11"/>
  <c r="D64" i="11"/>
  <c r="AG63" i="11"/>
  <c r="AC63" i="11"/>
  <c r="Y63" i="11"/>
  <c r="U63" i="11"/>
  <c r="Q63" i="11"/>
  <c r="M63" i="11"/>
  <c r="I63" i="11"/>
  <c r="E63" i="11"/>
  <c r="AF85" i="11"/>
  <c r="X85" i="11"/>
  <c r="Q85" i="11"/>
  <c r="L85" i="11"/>
  <c r="G85" i="11"/>
  <c r="A85" i="11"/>
  <c r="AC84" i="11"/>
  <c r="X84" i="11"/>
  <c r="S84" i="11"/>
  <c r="O84" i="11"/>
  <c r="K84" i="11"/>
  <c r="G84" i="11"/>
  <c r="C84" i="11"/>
  <c r="AF83" i="11"/>
  <c r="AB83" i="11"/>
  <c r="X83" i="11"/>
  <c r="T83" i="11"/>
  <c r="P83" i="11"/>
  <c r="L83" i="11"/>
  <c r="H83" i="11"/>
  <c r="D83" i="11"/>
  <c r="AG82" i="11"/>
  <c r="AC82" i="11"/>
  <c r="Y82" i="11"/>
  <c r="U82" i="11"/>
  <c r="Q82" i="11"/>
  <c r="M82" i="11"/>
  <c r="I82" i="11"/>
  <c r="E82" i="11"/>
  <c r="A82" i="11"/>
  <c r="AD81" i="11"/>
  <c r="Z81" i="11"/>
  <c r="V81" i="11"/>
  <c r="R81" i="11"/>
  <c r="N81" i="11"/>
  <c r="J81" i="11"/>
  <c r="F81" i="11"/>
  <c r="B81" i="11"/>
  <c r="AE80" i="11"/>
  <c r="AA80" i="11"/>
  <c r="W80" i="11"/>
  <c r="S80" i="11"/>
  <c r="O80" i="11"/>
  <c r="K80" i="11"/>
  <c r="G80" i="11"/>
  <c r="C80" i="11"/>
  <c r="AF79" i="11"/>
  <c r="AB79" i="11"/>
  <c r="X79" i="11"/>
  <c r="T79" i="11"/>
  <c r="P79" i="11"/>
  <c r="L79" i="11"/>
  <c r="H79" i="11"/>
  <c r="D79" i="11"/>
  <c r="AG78" i="11"/>
  <c r="AC78" i="11"/>
  <c r="Y78" i="11"/>
  <c r="U78" i="11"/>
  <c r="Q78" i="11"/>
  <c r="M78" i="11"/>
  <c r="I78" i="11"/>
  <c r="E78" i="11"/>
  <c r="A78" i="11"/>
  <c r="AD77" i="11"/>
  <c r="Z77" i="11"/>
  <c r="V77" i="11"/>
  <c r="R77" i="11"/>
  <c r="N77" i="11"/>
  <c r="J77" i="11"/>
  <c r="F77" i="11"/>
  <c r="B77" i="11"/>
  <c r="AE76" i="11"/>
  <c r="AA76" i="11"/>
  <c r="W76" i="11"/>
  <c r="S76" i="11"/>
  <c r="O76" i="11"/>
  <c r="K76" i="11"/>
  <c r="G76" i="11"/>
  <c r="C76" i="11"/>
  <c r="AF75" i="11"/>
  <c r="AB75" i="11"/>
  <c r="X75" i="11"/>
  <c r="T75" i="11"/>
  <c r="P75" i="11"/>
  <c r="L75" i="11"/>
  <c r="H75" i="11"/>
  <c r="D75" i="11"/>
  <c r="AG74" i="11"/>
  <c r="AC74" i="11"/>
  <c r="Y74" i="11"/>
  <c r="U74" i="11"/>
  <c r="Q74" i="11"/>
  <c r="M74" i="11"/>
  <c r="I74" i="11"/>
  <c r="E74" i="11"/>
  <c r="A74" i="11"/>
  <c r="AD73" i="11"/>
  <c r="Z73" i="11"/>
  <c r="V73" i="11"/>
  <c r="R73" i="11"/>
  <c r="N73" i="11"/>
  <c r="J73" i="11"/>
  <c r="F73" i="11"/>
  <c r="B73" i="11"/>
  <c r="AE72" i="11"/>
  <c r="AA72" i="11"/>
  <c r="W72" i="11"/>
  <c r="S72" i="11"/>
  <c r="O72" i="11"/>
  <c r="K72" i="11"/>
  <c r="G72" i="11"/>
  <c r="C72" i="11"/>
  <c r="AF71" i="11"/>
  <c r="AB71" i="11"/>
  <c r="X71" i="11"/>
  <c r="T71" i="11"/>
  <c r="P71" i="11"/>
  <c r="L71" i="11"/>
  <c r="H71" i="11"/>
  <c r="D71" i="11"/>
  <c r="AG70" i="11"/>
  <c r="AC70" i="11"/>
  <c r="Y70" i="11"/>
  <c r="U70" i="11"/>
  <c r="Q70" i="11"/>
  <c r="M70" i="11"/>
  <c r="I70" i="11"/>
  <c r="E70" i="11"/>
  <c r="A70" i="11"/>
  <c r="AD69" i="11"/>
  <c r="Z69" i="11"/>
  <c r="V69" i="11"/>
  <c r="R69" i="11"/>
  <c r="N69" i="11"/>
  <c r="J69" i="11"/>
  <c r="F69" i="11"/>
  <c r="B69" i="11"/>
  <c r="AE68" i="11"/>
  <c r="AA68" i="11"/>
  <c r="W68" i="11"/>
  <c r="S68" i="11"/>
  <c r="O68" i="11"/>
  <c r="K68" i="11"/>
  <c r="G68" i="11"/>
  <c r="C68" i="11"/>
  <c r="AF67" i="11"/>
  <c r="AB67" i="11"/>
  <c r="X67" i="11"/>
  <c r="T67" i="11"/>
  <c r="P67" i="11"/>
  <c r="L67" i="11"/>
  <c r="H67" i="11"/>
  <c r="D67" i="11"/>
  <c r="AG66" i="11"/>
  <c r="AC66" i="11"/>
  <c r="Y66" i="11"/>
  <c r="U66" i="11"/>
  <c r="Q66" i="11"/>
  <c r="M66" i="11"/>
  <c r="I66" i="11"/>
  <c r="E66" i="11"/>
  <c r="A66" i="11"/>
  <c r="AD65" i="11"/>
  <c r="Z65" i="11"/>
  <c r="V65" i="11"/>
  <c r="R65" i="11"/>
  <c r="N65" i="11"/>
  <c r="J65" i="11"/>
  <c r="F65" i="11"/>
  <c r="B65" i="11"/>
  <c r="AE64" i="11"/>
  <c r="AA64" i="11"/>
  <c r="W64" i="11"/>
  <c r="S64" i="11"/>
  <c r="O64" i="11"/>
  <c r="K64" i="11"/>
  <c r="G64" i="11"/>
  <c r="C64" i="11"/>
  <c r="AF63" i="11"/>
  <c r="AB63" i="11"/>
  <c r="X63" i="11"/>
  <c r="T63" i="11"/>
  <c r="P63" i="11"/>
  <c r="L63" i="11"/>
  <c r="H63" i="11"/>
  <c r="D63" i="11"/>
  <c r="AC85" i="11"/>
  <c r="U85" i="11"/>
  <c r="P85" i="11"/>
  <c r="K85" i="11"/>
  <c r="E85" i="11"/>
  <c r="AG84" i="11"/>
  <c r="AB84" i="11"/>
  <c r="V84" i="11"/>
  <c r="R84" i="11"/>
  <c r="N84" i="11"/>
  <c r="J84" i="11"/>
  <c r="F84" i="11"/>
  <c r="B84" i="11"/>
  <c r="AE83" i="11"/>
  <c r="AA83" i="11"/>
  <c r="W83" i="11"/>
  <c r="S83" i="11"/>
  <c r="O83" i="11"/>
  <c r="K83" i="11"/>
  <c r="G83" i="11"/>
  <c r="C83" i="11"/>
  <c r="AF82" i="11"/>
  <c r="AB82" i="11"/>
  <c r="X82" i="11"/>
  <c r="T82" i="11"/>
  <c r="P82" i="11"/>
  <c r="L82" i="11"/>
  <c r="H82" i="11"/>
  <c r="D82" i="11"/>
  <c r="AG81" i="11"/>
  <c r="AC81" i="11"/>
  <c r="Y81" i="11"/>
  <c r="U81" i="11"/>
  <c r="Q81" i="11"/>
  <c r="M81" i="11"/>
  <c r="I81" i="11"/>
  <c r="E81" i="11"/>
  <c r="A81" i="11"/>
  <c r="AD80" i="11"/>
  <c r="Z80" i="11"/>
  <c r="V80" i="11"/>
  <c r="R80" i="11"/>
  <c r="N80" i="11"/>
  <c r="J80" i="11"/>
  <c r="F80" i="11"/>
  <c r="B80" i="11"/>
  <c r="AE79" i="11"/>
  <c r="AA79" i="11"/>
  <c r="W79" i="11"/>
  <c r="S79" i="11"/>
  <c r="O79" i="11"/>
  <c r="K79" i="11"/>
  <c r="G79" i="11"/>
  <c r="C79" i="11"/>
  <c r="AF78" i="11"/>
  <c r="AB78" i="11"/>
  <c r="X78" i="11"/>
  <c r="T78" i="11"/>
  <c r="P78" i="11"/>
  <c r="L78" i="11"/>
  <c r="H78" i="11"/>
  <c r="D78" i="11"/>
  <c r="AG77" i="11"/>
  <c r="AC77" i="11"/>
  <c r="Y77" i="11"/>
  <c r="U77" i="11"/>
  <c r="Q77" i="11"/>
  <c r="M77" i="11"/>
  <c r="I77" i="11"/>
  <c r="E77" i="11"/>
  <c r="A77" i="11"/>
  <c r="AD76" i="11"/>
  <c r="Z76" i="11"/>
  <c r="V76" i="11"/>
  <c r="R76" i="11"/>
  <c r="N76" i="11"/>
  <c r="J76" i="11"/>
  <c r="F76" i="11"/>
  <c r="B76" i="11"/>
  <c r="AE75" i="11"/>
  <c r="AA75" i="11"/>
  <c r="W75" i="11"/>
  <c r="S75" i="11"/>
  <c r="O75" i="11"/>
  <c r="K75" i="11"/>
  <c r="G75" i="11"/>
  <c r="C75" i="11"/>
  <c r="AF74" i="11"/>
  <c r="AB74" i="11"/>
  <c r="X74" i="11"/>
  <c r="T74" i="11"/>
  <c r="P74" i="11"/>
  <c r="L74" i="11"/>
  <c r="H74" i="11"/>
  <c r="D74" i="11"/>
  <c r="AG73" i="11"/>
  <c r="AC73" i="11"/>
  <c r="Y73" i="11"/>
  <c r="U73" i="11"/>
  <c r="Q73" i="11"/>
  <c r="M73" i="11"/>
  <c r="I73" i="11"/>
  <c r="E73" i="11"/>
  <c r="A73" i="11"/>
  <c r="AD72" i="11"/>
  <c r="Z72" i="11"/>
  <c r="V72" i="11"/>
  <c r="R72" i="11"/>
  <c r="N72" i="11"/>
  <c r="J72" i="11"/>
  <c r="F72" i="11"/>
  <c r="B72" i="11"/>
  <c r="AE71" i="11"/>
  <c r="AA71" i="11"/>
  <c r="W71" i="11"/>
  <c r="S71" i="11"/>
  <c r="O71" i="11"/>
  <c r="K71" i="11"/>
  <c r="G71" i="11"/>
  <c r="C71" i="11"/>
  <c r="AF70" i="11"/>
  <c r="AB70" i="11"/>
  <c r="X70" i="11"/>
  <c r="T70" i="11"/>
  <c r="P70" i="11"/>
  <c r="L70" i="11"/>
  <c r="H70" i="11"/>
  <c r="D70" i="11"/>
  <c r="AG69" i="11"/>
  <c r="AC69" i="11"/>
  <c r="Y69" i="11"/>
  <c r="U69" i="11"/>
  <c r="Q69" i="11"/>
  <c r="M69" i="11"/>
  <c r="I69" i="11"/>
  <c r="E69" i="11"/>
  <c r="A69" i="11"/>
  <c r="AD68" i="11"/>
  <c r="Z68" i="11"/>
  <c r="V68" i="11"/>
  <c r="R68" i="11"/>
  <c r="N68" i="11"/>
  <c r="J68" i="11"/>
  <c r="F68" i="11"/>
  <c r="B68" i="11"/>
  <c r="AE67" i="11"/>
  <c r="AA67" i="11"/>
  <c r="W67" i="11"/>
  <c r="S67" i="11"/>
  <c r="O67" i="11"/>
  <c r="K67" i="11"/>
  <c r="G67" i="11"/>
  <c r="C67" i="11"/>
  <c r="AF66" i="11"/>
  <c r="AB66" i="11"/>
  <c r="X66" i="11"/>
  <c r="T66" i="11"/>
  <c r="P66" i="11"/>
  <c r="L66" i="11"/>
  <c r="H66" i="11"/>
  <c r="D66" i="11"/>
  <c r="AG65" i="11"/>
  <c r="AC65" i="11"/>
  <c r="Y65" i="11"/>
  <c r="U65" i="11"/>
  <c r="Q65" i="11"/>
  <c r="M65" i="11"/>
  <c r="I65" i="11"/>
  <c r="E65" i="11"/>
  <c r="A65" i="11"/>
  <c r="AD64" i="11"/>
  <c r="Z64" i="11"/>
  <c r="V64" i="11"/>
  <c r="R64" i="11"/>
  <c r="N64" i="11"/>
  <c r="J64" i="11"/>
  <c r="F64" i="11"/>
  <c r="B64" i="11"/>
  <c r="AE63" i="11"/>
  <c r="AA63" i="11"/>
  <c r="W63" i="11"/>
  <c r="S63" i="11"/>
  <c r="O63" i="11"/>
  <c r="K63" i="11"/>
  <c r="G63" i="11"/>
  <c r="C63" i="11"/>
  <c r="AF62" i="11"/>
  <c r="AB62" i="11"/>
  <c r="X62" i="11"/>
  <c r="T62" i="11"/>
  <c r="P62" i="11"/>
  <c r="L62" i="11"/>
  <c r="H62" i="11"/>
  <c r="D62" i="11"/>
  <c r="AG61" i="11"/>
  <c r="AC61" i="11"/>
  <c r="Y61" i="11"/>
  <c r="U61" i="11"/>
  <c r="Q61" i="11"/>
  <c r="M61" i="11"/>
  <c r="I61" i="11"/>
  <c r="E61" i="11"/>
  <c r="A61" i="11"/>
  <c r="AD60" i="11"/>
  <c r="Z60" i="11"/>
  <c r="V60" i="11"/>
  <c r="R60" i="11"/>
  <c r="N60" i="11"/>
  <c r="J60" i="11"/>
  <c r="F60" i="11"/>
  <c r="B60" i="11"/>
  <c r="AE59" i="11"/>
  <c r="AA59" i="11"/>
  <c r="W59" i="11"/>
  <c r="S59" i="11"/>
  <c r="O59" i="11"/>
  <c r="K59" i="11"/>
  <c r="G59" i="11"/>
  <c r="C59" i="11"/>
  <c r="AF58" i="11"/>
  <c r="AB58" i="11"/>
  <c r="X58" i="11"/>
  <c r="T58" i="11"/>
  <c r="P58" i="11"/>
  <c r="L58" i="11"/>
  <c r="H58" i="11"/>
  <c r="D58" i="11"/>
  <c r="AG57" i="11"/>
  <c r="AC57" i="11"/>
  <c r="Y57" i="11"/>
  <c r="U57" i="11"/>
  <c r="Q57" i="11"/>
  <c r="M57" i="11"/>
  <c r="I57" i="11"/>
  <c r="E57" i="11"/>
  <c r="A57" i="11"/>
  <c r="AD56" i="11"/>
  <c r="Z56" i="11"/>
  <c r="V56" i="11"/>
  <c r="R56" i="11"/>
  <c r="N56" i="11"/>
  <c r="J56" i="11"/>
  <c r="F56" i="11"/>
  <c r="B56" i="11"/>
  <c r="AE55" i="11"/>
  <c r="AA55" i="11"/>
  <c r="W55" i="11"/>
  <c r="S55" i="11"/>
  <c r="O55" i="11"/>
  <c r="K55" i="11"/>
  <c r="G55" i="11"/>
  <c r="C55" i="11"/>
  <c r="AF54" i="11"/>
  <c r="AB54" i="11"/>
  <c r="X54" i="11"/>
  <c r="AB85" i="11"/>
  <c r="T85" i="11"/>
  <c r="O85" i="11"/>
  <c r="I85" i="11"/>
  <c r="D85" i="11"/>
  <c r="AF84" i="11"/>
  <c r="Z84" i="11"/>
  <c r="U84" i="11"/>
  <c r="Q84" i="11"/>
  <c r="M84" i="11"/>
  <c r="I84" i="11"/>
  <c r="E84" i="11"/>
  <c r="A84" i="11"/>
  <c r="AD83" i="11"/>
  <c r="Z83" i="11"/>
  <c r="V83" i="11"/>
  <c r="R83" i="11"/>
  <c r="N83" i="11"/>
  <c r="J83" i="11"/>
  <c r="F83" i="11"/>
  <c r="B83" i="11"/>
  <c r="AE82" i="11"/>
  <c r="AA82" i="11"/>
  <c r="W82" i="11"/>
  <c r="S82" i="11"/>
  <c r="O82" i="11"/>
  <c r="K82" i="11"/>
  <c r="G82" i="11"/>
  <c r="C82" i="11"/>
  <c r="AF81" i="11"/>
  <c r="AB81" i="11"/>
  <c r="X81" i="11"/>
  <c r="T81" i="11"/>
  <c r="P81" i="11"/>
  <c r="L81" i="11"/>
  <c r="H81" i="11"/>
  <c r="D81" i="11"/>
  <c r="AG80" i="11"/>
  <c r="AC80" i="11"/>
  <c r="Y80" i="11"/>
  <c r="U80" i="11"/>
  <c r="Q80" i="11"/>
  <c r="M80" i="11"/>
  <c r="I80" i="11"/>
  <c r="E80" i="11"/>
  <c r="A80" i="11"/>
  <c r="AD79" i="11"/>
  <c r="Z79" i="11"/>
  <c r="V79" i="11"/>
  <c r="R79" i="11"/>
  <c r="N79" i="11"/>
  <c r="J79" i="11"/>
  <c r="F79" i="11"/>
  <c r="B79" i="11"/>
  <c r="AE78" i="11"/>
  <c r="AA78" i="11"/>
  <c r="W78" i="11"/>
  <c r="S78" i="11"/>
  <c r="O78" i="11"/>
  <c r="K78" i="11"/>
  <c r="G78" i="11"/>
  <c r="C78" i="11"/>
  <c r="AF77" i="11"/>
  <c r="AB77" i="11"/>
  <c r="X77" i="11"/>
  <c r="T77" i="11"/>
  <c r="P77" i="11"/>
  <c r="L77" i="11"/>
  <c r="H77" i="11"/>
  <c r="D77" i="11"/>
  <c r="AG76" i="11"/>
  <c r="AC76" i="11"/>
  <c r="Y76" i="11"/>
  <c r="U76" i="11"/>
  <c r="Q76" i="11"/>
  <c r="M76" i="11"/>
  <c r="I76" i="11"/>
  <c r="E76" i="11"/>
  <c r="A76" i="11"/>
  <c r="AD75" i="11"/>
  <c r="Z75" i="11"/>
  <c r="V75" i="11"/>
  <c r="R75" i="11"/>
  <c r="N75" i="11"/>
  <c r="J75" i="11"/>
  <c r="F75" i="11"/>
  <c r="B75" i="11"/>
  <c r="AE74" i="11"/>
  <c r="AA74" i="11"/>
  <c r="W74" i="11"/>
  <c r="S74" i="11"/>
  <c r="O74" i="11"/>
  <c r="K74" i="11"/>
  <c r="G74" i="11"/>
  <c r="C74" i="11"/>
  <c r="AF73" i="11"/>
  <c r="AB73" i="11"/>
  <c r="X73" i="11"/>
  <c r="T73" i="11"/>
  <c r="P73" i="11"/>
  <c r="L73" i="11"/>
  <c r="H73" i="11"/>
  <c r="D73" i="11"/>
  <c r="AG72" i="11"/>
  <c r="AC72" i="11"/>
  <c r="Y72" i="11"/>
  <c r="U72" i="11"/>
  <c r="Q72" i="11"/>
  <c r="M72" i="11"/>
  <c r="I72" i="11"/>
  <c r="E72" i="11"/>
  <c r="A72" i="11"/>
  <c r="AD71" i="11"/>
  <c r="Z71" i="11"/>
  <c r="V71" i="11"/>
  <c r="R71" i="11"/>
  <c r="N71" i="11"/>
  <c r="J71" i="11"/>
  <c r="F71" i="11"/>
  <c r="B71" i="11"/>
  <c r="AE70" i="11"/>
  <c r="AA70" i="11"/>
  <c r="W70" i="11"/>
  <c r="S70" i="11"/>
  <c r="O70" i="11"/>
  <c r="K70" i="11"/>
  <c r="G70" i="11"/>
  <c r="C70" i="11"/>
  <c r="AF69" i="11"/>
  <c r="AB69" i="11"/>
  <c r="X69" i="11"/>
  <c r="T69" i="11"/>
  <c r="P69" i="11"/>
  <c r="L69" i="11"/>
  <c r="H69" i="11"/>
  <c r="D69" i="11"/>
  <c r="AG68" i="11"/>
  <c r="AC68" i="11"/>
  <c r="Y68" i="11"/>
  <c r="U68" i="11"/>
  <c r="Q68" i="11"/>
  <c r="M68" i="11"/>
  <c r="I68" i="11"/>
  <c r="E68" i="11"/>
  <c r="A68" i="11"/>
  <c r="AD67" i="11"/>
  <c r="Z67" i="11"/>
  <c r="V67" i="11"/>
  <c r="R67" i="11"/>
  <c r="N67" i="11"/>
  <c r="J67" i="11"/>
  <c r="F67" i="11"/>
  <c r="B67" i="11"/>
  <c r="AE66" i="11"/>
  <c r="AA66" i="11"/>
  <c r="W66" i="11"/>
  <c r="S66" i="11"/>
  <c r="O66" i="11"/>
  <c r="K66" i="11"/>
  <c r="G66" i="11"/>
  <c r="C66" i="11"/>
  <c r="AF65" i="11"/>
  <c r="AB65" i="11"/>
  <c r="X65" i="11"/>
  <c r="T65" i="11"/>
  <c r="P65" i="11"/>
  <c r="L65" i="11"/>
  <c r="H65" i="11"/>
  <c r="D65" i="11"/>
  <c r="AG64" i="11"/>
  <c r="AC64" i="11"/>
  <c r="Y64" i="11"/>
  <c r="U64" i="11"/>
  <c r="Q64" i="11"/>
  <c r="M64" i="11"/>
  <c r="I64" i="11"/>
  <c r="E64" i="11"/>
  <c r="A64" i="11"/>
  <c r="AD63" i="11"/>
  <c r="Z63" i="11"/>
  <c r="V63" i="11"/>
  <c r="R63" i="11"/>
  <c r="N63" i="11"/>
  <c r="J63" i="11"/>
  <c r="F63" i="11"/>
  <c r="B63" i="11"/>
  <c r="AE62" i="11"/>
  <c r="AA62" i="11"/>
  <c r="W62" i="11"/>
  <c r="S62" i="11"/>
  <c r="O62" i="11"/>
  <c r="K62" i="11"/>
  <c r="G62" i="11"/>
  <c r="C62" i="11"/>
  <c r="AF61" i="11"/>
  <c r="AB61" i="11"/>
  <c r="X61" i="11"/>
  <c r="T61" i="11"/>
  <c r="P61" i="11"/>
  <c r="L61" i="11"/>
  <c r="H61" i="11"/>
  <c r="D61" i="11"/>
  <c r="AG60" i="11"/>
  <c r="AC60" i="11"/>
  <c r="Y60" i="11"/>
  <c r="U60" i="11"/>
  <c r="Q60" i="11"/>
  <c r="M60" i="11"/>
  <c r="I60" i="11"/>
  <c r="E60" i="11"/>
  <c r="A60" i="11"/>
  <c r="AD59" i="11"/>
  <c r="Z59" i="11"/>
  <c r="V59" i="11"/>
  <c r="R59" i="11"/>
  <c r="N59" i="11"/>
  <c r="J59" i="11"/>
  <c r="F59" i="11"/>
  <c r="B59" i="11"/>
  <c r="AE58" i="11"/>
  <c r="AA58" i="11"/>
  <c r="W58" i="11"/>
  <c r="S58" i="11"/>
  <c r="O58" i="11"/>
  <c r="K58" i="11"/>
  <c r="G58" i="11"/>
  <c r="C58" i="11"/>
  <c r="AF57" i="11"/>
  <c r="AB57" i="11"/>
  <c r="X57" i="11"/>
  <c r="T57" i="11"/>
  <c r="P57" i="11"/>
  <c r="L57" i="11"/>
  <c r="H57" i="11"/>
  <c r="D57" i="11"/>
  <c r="AG56" i="11"/>
  <c r="AC56" i="11"/>
  <c r="Y56" i="11"/>
  <c r="U56" i="11"/>
  <c r="Q56" i="11"/>
  <c r="M56" i="11"/>
  <c r="I56" i="11"/>
  <c r="E56" i="11"/>
  <c r="A56" i="11"/>
  <c r="AD55" i="11"/>
  <c r="Z55" i="11"/>
  <c r="V55" i="11"/>
  <c r="R55" i="11"/>
  <c r="N55" i="11"/>
  <c r="J55" i="11"/>
  <c r="F55" i="11"/>
  <c r="B55" i="11"/>
  <c r="A63" i="11"/>
  <c r="Z62" i="11"/>
  <c r="R62" i="11"/>
  <c r="J62" i="11"/>
  <c r="B62" i="11"/>
  <c r="AA61" i="11"/>
  <c r="S61" i="11"/>
  <c r="K61" i="11"/>
  <c r="C61" i="11"/>
  <c r="AB60" i="11"/>
  <c r="T60" i="11"/>
  <c r="L60" i="11"/>
  <c r="D60" i="11"/>
  <c r="AC59" i="11"/>
  <c r="U59" i="11"/>
  <c r="M59" i="11"/>
  <c r="E59" i="11"/>
  <c r="AD58" i="11"/>
  <c r="V58" i="11"/>
  <c r="N58" i="11"/>
  <c r="F58" i="11"/>
  <c r="AE57" i="11"/>
  <c r="W57" i="11"/>
  <c r="O57" i="11"/>
  <c r="G57" i="11"/>
  <c r="AF56" i="11"/>
  <c r="X56" i="11"/>
  <c r="P56" i="11"/>
  <c r="H56" i="11"/>
  <c r="AG55" i="11"/>
  <c r="Y55" i="11"/>
  <c r="Q55" i="11"/>
  <c r="I55" i="11"/>
  <c r="A55" i="11"/>
  <c r="AC54" i="11"/>
  <c r="W54" i="11"/>
  <c r="S54" i="11"/>
  <c r="O54" i="11"/>
  <c r="K54" i="11"/>
  <c r="G54" i="11"/>
  <c r="C54" i="11"/>
  <c r="AF53" i="11"/>
  <c r="AB53" i="11"/>
  <c r="X53" i="11"/>
  <c r="T53" i="11"/>
  <c r="P53" i="11"/>
  <c r="L53" i="11"/>
  <c r="H53" i="11"/>
  <c r="D53" i="11"/>
  <c r="AG52" i="11"/>
  <c r="AC52" i="11"/>
  <c r="Y52" i="11"/>
  <c r="U52" i="11"/>
  <c r="Q52" i="11"/>
  <c r="M52" i="11"/>
  <c r="I52" i="11"/>
  <c r="E52" i="11"/>
  <c r="A52" i="11"/>
  <c r="AD51" i="11"/>
  <c r="Z51" i="11"/>
  <c r="V51" i="11"/>
  <c r="R51" i="11"/>
  <c r="N51" i="11"/>
  <c r="J51" i="11"/>
  <c r="F51" i="11"/>
  <c r="B51" i="11"/>
  <c r="AE50" i="11"/>
  <c r="AA50" i="11"/>
  <c r="W50" i="11"/>
  <c r="S50" i="11"/>
  <c r="O50" i="11"/>
  <c r="K50" i="11"/>
  <c r="G50" i="11"/>
  <c r="C50" i="11"/>
  <c r="AF49" i="11"/>
  <c r="AB49" i="11"/>
  <c r="X49" i="11"/>
  <c r="T49" i="11"/>
  <c r="P49" i="11"/>
  <c r="L49" i="11"/>
  <c r="H49" i="11"/>
  <c r="D49" i="11"/>
  <c r="AG48" i="11"/>
  <c r="AC48" i="11"/>
  <c r="Y48" i="11"/>
  <c r="U48" i="11"/>
  <c r="Q48" i="11"/>
  <c r="M48" i="11"/>
  <c r="I48" i="11"/>
  <c r="E48" i="11"/>
  <c r="A48" i="11"/>
  <c r="AD47" i="11"/>
  <c r="Z47" i="11"/>
  <c r="V47" i="11"/>
  <c r="R47" i="11"/>
  <c r="N47" i="11"/>
  <c r="J47" i="11"/>
  <c r="F47" i="11"/>
  <c r="B47" i="11"/>
  <c r="AE46" i="11"/>
  <c r="AA46" i="11"/>
  <c r="W46" i="11"/>
  <c r="S46" i="11"/>
  <c r="O46" i="11"/>
  <c r="K46" i="11"/>
  <c r="G46" i="11"/>
  <c r="C46" i="11"/>
  <c r="AF45" i="11"/>
  <c r="AB45" i="11"/>
  <c r="X45" i="11"/>
  <c r="T45" i="11"/>
  <c r="P45" i="11"/>
  <c r="L45" i="11"/>
  <c r="H45" i="11"/>
  <c r="D45" i="11"/>
  <c r="AG44" i="11"/>
  <c r="AC44" i="11"/>
  <c r="Y44" i="11"/>
  <c r="U44" i="11"/>
  <c r="Q44" i="11"/>
  <c r="M44" i="11"/>
  <c r="I44" i="11"/>
  <c r="E44" i="11"/>
  <c r="A44" i="11"/>
  <c r="AD43" i="11"/>
  <c r="Z43" i="11"/>
  <c r="V43" i="11"/>
  <c r="R43" i="11"/>
  <c r="N43" i="11"/>
  <c r="J43" i="11"/>
  <c r="F43" i="11"/>
  <c r="AG62" i="11"/>
  <c r="Y62" i="11"/>
  <c r="Q62" i="11"/>
  <c r="I62" i="11"/>
  <c r="A62" i="11"/>
  <c r="Z61" i="11"/>
  <c r="R61" i="11"/>
  <c r="J61" i="11"/>
  <c r="B61" i="11"/>
  <c r="AA60" i="11"/>
  <c r="S60" i="11"/>
  <c r="K60" i="11"/>
  <c r="C60" i="11"/>
  <c r="AB59" i="11"/>
  <c r="T59" i="11"/>
  <c r="L59" i="11"/>
  <c r="D59" i="11"/>
  <c r="AC58" i="11"/>
  <c r="U58" i="11"/>
  <c r="M58" i="11"/>
  <c r="E58" i="11"/>
  <c r="AD57" i="11"/>
  <c r="V57" i="11"/>
  <c r="N57" i="11"/>
  <c r="F57" i="11"/>
  <c r="AE56" i="11"/>
  <c r="W56" i="11"/>
  <c r="O56" i="11"/>
  <c r="G56" i="11"/>
  <c r="AF55" i="11"/>
  <c r="X55" i="11"/>
  <c r="P55" i="11"/>
  <c r="H55" i="11"/>
  <c r="AG54" i="11"/>
  <c r="AA54" i="11"/>
  <c r="V54" i="11"/>
  <c r="R54" i="11"/>
  <c r="N54" i="11"/>
  <c r="J54" i="11"/>
  <c r="F54" i="11"/>
  <c r="B54" i="11"/>
  <c r="AE53" i="11"/>
  <c r="AA53" i="11"/>
  <c r="W53" i="11"/>
  <c r="S53" i="11"/>
  <c r="O53" i="11"/>
  <c r="K53" i="11"/>
  <c r="G53" i="11"/>
  <c r="C53" i="11"/>
  <c r="AF52" i="11"/>
  <c r="AB52" i="11"/>
  <c r="X52" i="11"/>
  <c r="T52" i="11"/>
  <c r="P52" i="11"/>
  <c r="L52" i="11"/>
  <c r="H52" i="11"/>
  <c r="D52" i="11"/>
  <c r="AG51" i="11"/>
  <c r="AC51" i="11"/>
  <c r="Y51" i="11"/>
  <c r="U51" i="11"/>
  <c r="Q51" i="11"/>
  <c r="M51" i="11"/>
  <c r="I51" i="11"/>
  <c r="E51" i="11"/>
  <c r="A51" i="11"/>
  <c r="AD50" i="11"/>
  <c r="Z50" i="11"/>
  <c r="V50" i="11"/>
  <c r="R50" i="11"/>
  <c r="N50" i="11"/>
  <c r="J50" i="11"/>
  <c r="F50" i="11"/>
  <c r="B50" i="11"/>
  <c r="AE49" i="11"/>
  <c r="AA49" i="11"/>
  <c r="W49" i="11"/>
  <c r="S49" i="11"/>
  <c r="O49" i="11"/>
  <c r="K49" i="11"/>
  <c r="G49" i="11"/>
  <c r="C49" i="11"/>
  <c r="AF48" i="11"/>
  <c r="AB48" i="11"/>
  <c r="X48" i="11"/>
  <c r="T48" i="11"/>
  <c r="P48" i="11"/>
  <c r="L48" i="11"/>
  <c r="H48" i="11"/>
  <c r="D48" i="11"/>
  <c r="AG47" i="11"/>
  <c r="AC47" i="11"/>
  <c r="Y47" i="11"/>
  <c r="U47" i="11"/>
  <c r="Q47" i="11"/>
  <c r="M47" i="11"/>
  <c r="I47" i="11"/>
  <c r="E47" i="11"/>
  <c r="A47" i="11"/>
  <c r="AD46" i="11"/>
  <c r="Z46" i="11"/>
  <c r="V46" i="11"/>
  <c r="R46" i="11"/>
  <c r="N46" i="11"/>
  <c r="J46" i="11"/>
  <c r="F46" i="11"/>
  <c r="B46" i="11"/>
  <c r="AE45" i="11"/>
  <c r="AA45" i="11"/>
  <c r="W45" i="11"/>
  <c r="S45" i="11"/>
  <c r="O45" i="11"/>
  <c r="K45" i="11"/>
  <c r="G45" i="11"/>
  <c r="C45" i="11"/>
  <c r="AF44" i="11"/>
  <c r="AB44" i="11"/>
  <c r="X44" i="11"/>
  <c r="T44" i="11"/>
  <c r="P44" i="11"/>
  <c r="L44" i="11"/>
  <c r="H44" i="11"/>
  <c r="D44" i="11"/>
  <c r="AG43" i="11"/>
  <c r="AC43" i="11"/>
  <c r="Y43" i="11"/>
  <c r="U43" i="11"/>
  <c r="Q43" i="11"/>
  <c r="M43" i="11"/>
  <c r="I43" i="11"/>
  <c r="E43" i="11"/>
  <c r="A43" i="11"/>
  <c r="AD42" i="11"/>
  <c r="Z42" i="11"/>
  <c r="V42" i="11"/>
  <c r="R42" i="11"/>
  <c r="N42" i="11"/>
  <c r="J42" i="11"/>
  <c r="F42" i="11"/>
  <c r="B42" i="11"/>
  <c r="AE41" i="11"/>
  <c r="AA41" i="11"/>
  <c r="W41" i="11"/>
  <c r="S41" i="11"/>
  <c r="O41" i="11"/>
  <c r="K41" i="11"/>
  <c r="G41" i="11"/>
  <c r="C41" i="11"/>
  <c r="AF40" i="11"/>
  <c r="AB40" i="11"/>
  <c r="X40" i="11"/>
  <c r="T40" i="11"/>
  <c r="P40" i="11"/>
  <c r="L40" i="11"/>
  <c r="H40" i="11"/>
  <c r="D40" i="11"/>
  <c r="AG39" i="11"/>
  <c r="AC39" i="11"/>
  <c r="Y39" i="11"/>
  <c r="U39" i="11"/>
  <c r="Q39" i="11"/>
  <c r="M39" i="11"/>
  <c r="I39" i="11"/>
  <c r="E39" i="11"/>
  <c r="A39" i="11"/>
  <c r="AD38" i="11"/>
  <c r="Z38" i="11"/>
  <c r="V38" i="11"/>
  <c r="R38" i="11"/>
  <c r="N38" i="11"/>
  <c r="J38" i="11"/>
  <c r="F38" i="11"/>
  <c r="B38" i="11"/>
  <c r="AE37" i="11"/>
  <c r="AA37" i="11"/>
  <c r="W37" i="11"/>
  <c r="S37" i="11"/>
  <c r="O37" i="11"/>
  <c r="K37" i="11"/>
  <c r="G37" i="11"/>
  <c r="C37" i="11"/>
  <c r="AF36" i="11"/>
  <c r="AB36" i="11"/>
  <c r="X36" i="11"/>
  <c r="T36" i="11"/>
  <c r="P36" i="11"/>
  <c r="L36" i="11"/>
  <c r="H36" i="11"/>
  <c r="D36" i="11"/>
  <c r="AG35" i="11"/>
  <c r="AC35" i="11"/>
  <c r="Y35" i="11"/>
  <c r="U35" i="11"/>
  <c r="Q35" i="11"/>
  <c r="M35" i="11"/>
  <c r="I35" i="11"/>
  <c r="E35" i="11"/>
  <c r="A35" i="11"/>
  <c r="AD34" i="11"/>
  <c r="Z34" i="11"/>
  <c r="V34" i="11"/>
  <c r="R34" i="11"/>
  <c r="N34" i="11"/>
  <c r="J34" i="11"/>
  <c r="F34" i="11"/>
  <c r="B34" i="11"/>
  <c r="AE33" i="11"/>
  <c r="AA33" i="11"/>
  <c r="W33" i="11"/>
  <c r="S33" i="11"/>
  <c r="O33" i="11"/>
  <c r="K33" i="11"/>
  <c r="G33" i="11"/>
  <c r="C33" i="11"/>
  <c r="AF32" i="11"/>
  <c r="AB32" i="11"/>
  <c r="X32" i="11"/>
  <c r="T32" i="11"/>
  <c r="P32" i="11"/>
  <c r="L32" i="11"/>
  <c r="H32" i="11"/>
  <c r="D32" i="11"/>
  <c r="AG31" i="11"/>
  <c r="AC31" i="11"/>
  <c r="Y31" i="11"/>
  <c r="U31" i="11"/>
  <c r="Q31" i="11"/>
  <c r="M31" i="11"/>
  <c r="I31" i="11"/>
  <c r="E31" i="11"/>
  <c r="A31" i="11"/>
  <c r="AD30" i="11"/>
  <c r="Z30" i="11"/>
  <c r="V30" i="11"/>
  <c r="R30" i="11"/>
  <c r="N30" i="11"/>
  <c r="J30" i="11"/>
  <c r="F30" i="11"/>
  <c r="B30" i="11"/>
  <c r="AE29" i="11"/>
  <c r="AA29" i="11"/>
  <c r="W29" i="11"/>
  <c r="S29" i="11"/>
  <c r="O29" i="11"/>
  <c r="K29" i="11"/>
  <c r="G29" i="11"/>
  <c r="C29" i="11"/>
  <c r="AF28" i="11"/>
  <c r="AB28" i="11"/>
  <c r="X28" i="11"/>
  <c r="T28" i="11"/>
  <c r="P28" i="11"/>
  <c r="L28" i="11"/>
  <c r="H28" i="11"/>
  <c r="D28" i="11"/>
  <c r="AD62" i="11"/>
  <c r="V62" i="11"/>
  <c r="N62" i="11"/>
  <c r="F62" i="11"/>
  <c r="AE61" i="11"/>
  <c r="W61" i="11"/>
  <c r="O61" i="11"/>
  <c r="G61" i="11"/>
  <c r="AF60" i="11"/>
  <c r="X60" i="11"/>
  <c r="P60" i="11"/>
  <c r="H60" i="11"/>
  <c r="AG59" i="11"/>
  <c r="Y59" i="11"/>
  <c r="Q59" i="11"/>
  <c r="I59" i="11"/>
  <c r="A59" i="11"/>
  <c r="Z58" i="11"/>
  <c r="R58" i="11"/>
  <c r="J58" i="11"/>
  <c r="B58" i="11"/>
  <c r="AA57" i="11"/>
  <c r="S57" i="11"/>
  <c r="K57" i="11"/>
  <c r="C57" i="11"/>
  <c r="AB56" i="11"/>
  <c r="T56" i="11"/>
  <c r="L56" i="11"/>
  <c r="D56" i="11"/>
  <c r="AC55" i="11"/>
  <c r="U55" i="11"/>
  <c r="M55" i="11"/>
  <c r="E55" i="11"/>
  <c r="AE54" i="11"/>
  <c r="Z54" i="11"/>
  <c r="U54" i="11"/>
  <c r="Q54" i="11"/>
  <c r="M54" i="11"/>
  <c r="I54" i="11"/>
  <c r="E54" i="11"/>
  <c r="A54" i="11"/>
  <c r="AD53" i="11"/>
  <c r="Z53" i="11"/>
  <c r="V53" i="11"/>
  <c r="R53" i="11"/>
  <c r="N53" i="11"/>
  <c r="J53" i="11"/>
  <c r="F53" i="11"/>
  <c r="B53" i="11"/>
  <c r="AE52" i="11"/>
  <c r="AA52" i="11"/>
  <c r="W52" i="11"/>
  <c r="S52" i="11"/>
  <c r="O52" i="11"/>
  <c r="K52" i="11"/>
  <c r="G52" i="11"/>
  <c r="C52" i="11"/>
  <c r="AF51" i="11"/>
  <c r="AB51" i="11"/>
  <c r="X51" i="11"/>
  <c r="T51" i="11"/>
  <c r="P51" i="11"/>
  <c r="L51" i="11"/>
  <c r="H51" i="11"/>
  <c r="D51" i="11"/>
  <c r="AG50" i="11"/>
  <c r="AC50" i="11"/>
  <c r="Y50" i="11"/>
  <c r="U50" i="11"/>
  <c r="Q50" i="11"/>
  <c r="M50" i="11"/>
  <c r="I50" i="11"/>
  <c r="E50" i="11"/>
  <c r="A50" i="11"/>
  <c r="AD49" i="11"/>
  <c r="Z49" i="11"/>
  <c r="V49" i="11"/>
  <c r="R49" i="11"/>
  <c r="N49" i="11"/>
  <c r="J49" i="11"/>
  <c r="F49" i="11"/>
  <c r="B49" i="11"/>
  <c r="AE48" i="11"/>
  <c r="AA48" i="11"/>
  <c r="W48" i="11"/>
  <c r="S48" i="11"/>
  <c r="O48" i="11"/>
  <c r="K48" i="11"/>
  <c r="G48" i="11"/>
  <c r="C48" i="11"/>
  <c r="AF47" i="11"/>
  <c r="AB47" i="11"/>
  <c r="X47" i="11"/>
  <c r="T47" i="11"/>
  <c r="P47" i="11"/>
  <c r="L47" i="11"/>
  <c r="H47" i="11"/>
  <c r="D47" i="11"/>
  <c r="AG46" i="11"/>
  <c r="AC46" i="11"/>
  <c r="Y46" i="11"/>
  <c r="U46" i="11"/>
  <c r="Q46" i="11"/>
  <c r="M46" i="11"/>
  <c r="I46" i="11"/>
  <c r="E46" i="11"/>
  <c r="A46" i="11"/>
  <c r="AD45" i="11"/>
  <c r="Z45" i="11"/>
  <c r="V45" i="11"/>
  <c r="R45" i="11"/>
  <c r="N45" i="11"/>
  <c r="J45" i="11"/>
  <c r="F45" i="11"/>
  <c r="B45" i="11"/>
  <c r="AE44" i="11"/>
  <c r="AA44" i="11"/>
  <c r="W44" i="11"/>
  <c r="S44" i="11"/>
  <c r="O44" i="11"/>
  <c r="K44" i="11"/>
  <c r="G44" i="11"/>
  <c r="C44" i="11"/>
  <c r="AF43" i="11"/>
  <c r="AB43" i="11"/>
  <c r="X43" i="11"/>
  <c r="T43" i="11"/>
  <c r="P43" i="11"/>
  <c r="L43" i="11"/>
  <c r="H43" i="11"/>
  <c r="D43" i="11"/>
  <c r="AC62" i="11"/>
  <c r="U62" i="11"/>
  <c r="M62" i="11"/>
  <c r="E62" i="11"/>
  <c r="AD61" i="11"/>
  <c r="V61" i="11"/>
  <c r="N61" i="11"/>
  <c r="F61" i="11"/>
  <c r="AE60" i="11"/>
  <c r="W60" i="11"/>
  <c r="O60" i="11"/>
  <c r="G60" i="11"/>
  <c r="AF59" i="11"/>
  <c r="X59" i="11"/>
  <c r="P59" i="11"/>
  <c r="H59" i="11"/>
  <c r="AG58" i="11"/>
  <c r="Y58" i="11"/>
  <c r="Q58" i="11"/>
  <c r="I58" i="11"/>
  <c r="A58" i="11"/>
  <c r="Z57" i="11"/>
  <c r="R57" i="11"/>
  <c r="J57" i="11"/>
  <c r="B57" i="11"/>
  <c r="AA56" i="11"/>
  <c r="S56" i="11"/>
  <c r="K56" i="11"/>
  <c r="C56" i="11"/>
  <c r="AB55" i="11"/>
  <c r="T55" i="11"/>
  <c r="L55" i="11"/>
  <c r="D55" i="11"/>
  <c r="AD54" i="11"/>
  <c r="Y54" i="11"/>
  <c r="T54" i="11"/>
  <c r="P54" i="11"/>
  <c r="L54" i="11"/>
  <c r="H54" i="11"/>
  <c r="D54" i="11"/>
  <c r="AG53" i="11"/>
  <c r="AC53" i="11"/>
  <c r="Y53" i="11"/>
  <c r="U53" i="11"/>
  <c r="Q53" i="11"/>
  <c r="M53" i="11"/>
  <c r="I53" i="11"/>
  <c r="E53" i="11"/>
  <c r="A53" i="11"/>
  <c r="AD52" i="11"/>
  <c r="Z52" i="11"/>
  <c r="V52" i="11"/>
  <c r="R52" i="11"/>
  <c r="N52" i="11"/>
  <c r="J52" i="11"/>
  <c r="F52" i="11"/>
  <c r="B52" i="11"/>
  <c r="AE51" i="11"/>
  <c r="AA51" i="11"/>
  <c r="W51" i="11"/>
  <c r="S51" i="11"/>
  <c r="O51" i="11"/>
  <c r="K51" i="11"/>
  <c r="G51" i="11"/>
  <c r="C51" i="11"/>
  <c r="AF50" i="11"/>
  <c r="AB50" i="11"/>
  <c r="X50" i="11"/>
  <c r="T50" i="11"/>
  <c r="P50" i="11"/>
  <c r="L50" i="11"/>
  <c r="H50" i="11"/>
  <c r="D50" i="11"/>
  <c r="AG49" i="11"/>
  <c r="AC49" i="11"/>
  <c r="Y49" i="11"/>
  <c r="U49" i="11"/>
  <c r="Q49" i="11"/>
  <c r="M49" i="11"/>
  <c r="I49" i="11"/>
  <c r="E49" i="11"/>
  <c r="A49" i="11"/>
  <c r="AD48" i="11"/>
  <c r="Z48" i="11"/>
  <c r="V48" i="11"/>
  <c r="R48" i="11"/>
  <c r="N48" i="11"/>
  <c r="J48" i="11"/>
  <c r="F48" i="11"/>
  <c r="B48" i="11"/>
  <c r="AE47" i="11"/>
  <c r="AA47" i="11"/>
  <c r="W47" i="11"/>
  <c r="S47" i="11"/>
  <c r="O47" i="11"/>
  <c r="K47" i="11"/>
  <c r="G47" i="11"/>
  <c r="C47" i="11"/>
  <c r="AF46" i="11"/>
  <c r="AB46" i="11"/>
  <c r="X46" i="11"/>
  <c r="T46" i="11"/>
  <c r="P46" i="11"/>
  <c r="L46" i="11"/>
  <c r="H46" i="11"/>
  <c r="D46" i="11"/>
  <c r="AG45" i="11"/>
  <c r="AC45" i="11"/>
  <c r="Y45" i="11"/>
  <c r="U45" i="11"/>
  <c r="Q45" i="11"/>
  <c r="M45" i="11"/>
  <c r="I45" i="11"/>
  <c r="E45" i="11"/>
  <c r="A45" i="11"/>
  <c r="AD44" i="11"/>
  <c r="Z44" i="11"/>
  <c r="V44" i="11"/>
  <c r="R44" i="11"/>
  <c r="N44" i="11"/>
  <c r="J44" i="11"/>
  <c r="F44" i="11"/>
  <c r="B44" i="11"/>
  <c r="AE43" i="11"/>
  <c r="AA43" i="11"/>
  <c r="W43" i="11"/>
  <c r="S43" i="11"/>
  <c r="O43" i="11"/>
  <c r="K43" i="11"/>
  <c r="G43" i="11"/>
  <c r="C43" i="11"/>
  <c r="AF42" i="11"/>
  <c r="AB42" i="11"/>
  <c r="X42" i="11"/>
  <c r="T42" i="11"/>
  <c r="P42" i="11"/>
  <c r="L42" i="11"/>
  <c r="H42" i="11"/>
  <c r="D42" i="11"/>
  <c r="AG41" i="11"/>
  <c r="AC41" i="11"/>
  <c r="Y41" i="11"/>
  <c r="U41" i="11"/>
  <c r="Q41" i="11"/>
  <c r="M41" i="11"/>
  <c r="I41" i="11"/>
  <c r="E41" i="11"/>
  <c r="A41" i="11"/>
  <c r="AD40" i="11"/>
  <c r="Z40" i="11"/>
  <c r="V40" i="11"/>
  <c r="R40" i="11"/>
  <c r="N40" i="11"/>
  <c r="J40" i="11"/>
  <c r="F40" i="11"/>
  <c r="B40" i="11"/>
  <c r="AE39" i="11"/>
  <c r="AA39" i="11"/>
  <c r="W39" i="11"/>
  <c r="S39" i="11"/>
  <c r="O39" i="11"/>
  <c r="K39" i="11"/>
  <c r="G39" i="11"/>
  <c r="C39" i="11"/>
  <c r="AF38" i="11"/>
  <c r="AB38" i="11"/>
  <c r="X38" i="11"/>
  <c r="T38" i="11"/>
  <c r="P38" i="11"/>
  <c r="L38" i="11"/>
  <c r="H38" i="11"/>
  <c r="D38" i="11"/>
  <c r="AG37" i="11"/>
  <c r="AC37" i="11"/>
  <c r="Y37" i="11"/>
  <c r="U37" i="11"/>
  <c r="Q37" i="11"/>
  <c r="M37" i="11"/>
  <c r="I37" i="11"/>
  <c r="E37" i="11"/>
  <c r="A37" i="11"/>
  <c r="AD36" i="11"/>
  <c r="Z36" i="11"/>
  <c r="V36" i="11"/>
  <c r="R36" i="11"/>
  <c r="N36" i="11"/>
  <c r="J36" i="11"/>
  <c r="F36" i="11"/>
  <c r="B36" i="11"/>
  <c r="AE35" i="11"/>
  <c r="AA35" i="11"/>
  <c r="W35" i="11"/>
  <c r="S35" i="11"/>
  <c r="O35" i="11"/>
  <c r="K35" i="11"/>
  <c r="G35" i="11"/>
  <c r="C35" i="11"/>
  <c r="AF34" i="11"/>
  <c r="AB34" i="11"/>
  <c r="X34" i="11"/>
  <c r="T34" i="11"/>
  <c r="P34" i="11"/>
  <c r="L34" i="11"/>
  <c r="H34" i="11"/>
  <c r="D34" i="11"/>
  <c r="AG33" i="11"/>
  <c r="AC33" i="11"/>
  <c r="Y33" i="11"/>
  <c r="U33" i="11"/>
  <c r="Q33" i="11"/>
  <c r="M33" i="11"/>
  <c r="I33" i="11"/>
  <c r="E33" i="11"/>
  <c r="A33" i="11"/>
  <c r="AD32" i="11"/>
  <c r="Z32" i="11"/>
  <c r="V32" i="11"/>
  <c r="R32" i="11"/>
  <c r="N32" i="11"/>
  <c r="J32" i="11"/>
  <c r="F32" i="11"/>
  <c r="B32" i="11"/>
  <c r="AE31" i="11"/>
  <c r="AA31" i="11"/>
  <c r="W31" i="11"/>
  <c r="S31" i="11"/>
  <c r="O31" i="11"/>
  <c r="K31" i="11"/>
  <c r="G31" i="11"/>
  <c r="C31" i="11"/>
  <c r="AF30" i="11"/>
  <c r="AB30" i="11"/>
  <c r="X30" i="11"/>
  <c r="T30" i="11"/>
  <c r="P30" i="11"/>
  <c r="L30" i="11"/>
  <c r="H30" i="11"/>
  <c r="D30" i="11"/>
  <c r="AG29" i="11"/>
  <c r="AC29" i="11"/>
  <c r="Y29" i="11"/>
  <c r="U29" i="11"/>
  <c r="Q29" i="11"/>
  <c r="M29" i="11"/>
  <c r="I29" i="11"/>
  <c r="E29" i="11"/>
  <c r="A29" i="11"/>
  <c r="AD28" i="11"/>
  <c r="Z28" i="11"/>
  <c r="V28" i="11"/>
  <c r="R28" i="11"/>
  <c r="N28" i="11"/>
  <c r="J28" i="11"/>
  <c r="F28" i="11"/>
  <c r="B28" i="11"/>
  <c r="AE27" i="11"/>
  <c r="AA27" i="11"/>
  <c r="W27" i="11"/>
  <c r="B43" i="11"/>
  <c r="AA42" i="11"/>
  <c r="S42" i="11"/>
  <c r="K42" i="11"/>
  <c r="C42" i="11"/>
  <c r="AB41" i="11"/>
  <c r="T41" i="11"/>
  <c r="L41" i="11"/>
  <c r="D41" i="11"/>
  <c r="AC40" i="11"/>
  <c r="U40" i="11"/>
  <c r="M40" i="11"/>
  <c r="E40" i="11"/>
  <c r="AD39" i="11"/>
  <c r="V39" i="11"/>
  <c r="N39" i="11"/>
  <c r="F39" i="11"/>
  <c r="AE38" i="11"/>
  <c r="W38" i="11"/>
  <c r="O38" i="11"/>
  <c r="G38" i="11"/>
  <c r="AF37" i="11"/>
  <c r="X37" i="11"/>
  <c r="P37" i="11"/>
  <c r="H37" i="11"/>
  <c r="AG36" i="11"/>
  <c r="Y36" i="11"/>
  <c r="Q36" i="11"/>
  <c r="I36" i="11"/>
  <c r="A36" i="11"/>
  <c r="Z35" i="11"/>
  <c r="R35" i="11"/>
  <c r="J35" i="11"/>
  <c r="B35" i="11"/>
  <c r="AA34" i="11"/>
  <c r="S34" i="11"/>
  <c r="K34" i="11"/>
  <c r="C34" i="11"/>
  <c r="AB33" i="11"/>
  <c r="T33" i="11"/>
  <c r="L33" i="11"/>
  <c r="D33" i="11"/>
  <c r="AC32" i="11"/>
  <c r="U32" i="11"/>
  <c r="M32" i="11"/>
  <c r="E32" i="11"/>
  <c r="AD31" i="11"/>
  <c r="V31" i="11"/>
  <c r="N31" i="11"/>
  <c r="F31" i="11"/>
  <c r="AE30" i="11"/>
  <c r="W30" i="11"/>
  <c r="O30" i="11"/>
  <c r="G30" i="11"/>
  <c r="AF29" i="11"/>
  <c r="X29" i="11"/>
  <c r="P29" i="11"/>
  <c r="H29" i="11"/>
  <c r="AG28" i="11"/>
  <c r="Y28" i="11"/>
  <c r="Q28" i="11"/>
  <c r="I28" i="11"/>
  <c r="A28" i="11"/>
  <c r="AC27" i="11"/>
  <c r="X27" i="11"/>
  <c r="S27" i="11"/>
  <c r="O27" i="11"/>
  <c r="K27" i="11"/>
  <c r="G27" i="11"/>
  <c r="C27" i="11"/>
  <c r="AF26" i="11"/>
  <c r="AB26" i="11"/>
  <c r="X26" i="11"/>
  <c r="T26" i="11"/>
  <c r="P26" i="11"/>
  <c r="L26" i="11"/>
  <c r="H26" i="11"/>
  <c r="D26" i="11"/>
  <c r="AG25" i="11"/>
  <c r="AC25" i="11"/>
  <c r="Y25" i="11"/>
  <c r="U25" i="11"/>
  <c r="Q25" i="11"/>
  <c r="M25" i="11"/>
  <c r="I25" i="11"/>
  <c r="E25" i="11"/>
  <c r="A25" i="11"/>
  <c r="AD24" i="11"/>
  <c r="Z24" i="11"/>
  <c r="V24" i="11"/>
  <c r="R24" i="11"/>
  <c r="N24" i="11"/>
  <c r="J24" i="11"/>
  <c r="F24" i="11"/>
  <c r="B24" i="11"/>
  <c r="AE23" i="11"/>
  <c r="AA23" i="11"/>
  <c r="W23" i="11"/>
  <c r="S23" i="11"/>
  <c r="O23" i="11"/>
  <c r="K23" i="11"/>
  <c r="G23" i="11"/>
  <c r="C23" i="11"/>
  <c r="AF22" i="11"/>
  <c r="AB22" i="11"/>
  <c r="X22" i="11"/>
  <c r="T22" i="11"/>
  <c r="P22" i="11"/>
  <c r="L22" i="11"/>
  <c r="H22" i="11"/>
  <c r="D22" i="11"/>
  <c r="AG21" i="11"/>
  <c r="AC21" i="11"/>
  <c r="Y21" i="11"/>
  <c r="U21" i="11"/>
  <c r="Q21" i="11"/>
  <c r="M21" i="11"/>
  <c r="I21" i="11"/>
  <c r="E21" i="11"/>
  <c r="A21" i="11"/>
  <c r="AD20" i="11"/>
  <c r="Z20" i="11"/>
  <c r="V20" i="11"/>
  <c r="R20" i="11"/>
  <c r="N20" i="11"/>
  <c r="J20" i="11"/>
  <c r="F20" i="11"/>
  <c r="B20" i="11"/>
  <c r="AE19" i="11"/>
  <c r="AA19" i="11"/>
  <c r="W19" i="11"/>
  <c r="S19" i="11"/>
  <c r="O19" i="11"/>
  <c r="K19" i="11"/>
  <c r="G19" i="11"/>
  <c r="C19" i="11"/>
  <c r="AF18" i="11"/>
  <c r="AB18" i="11"/>
  <c r="X18" i="11"/>
  <c r="T18" i="11"/>
  <c r="P18" i="11"/>
  <c r="L18" i="11"/>
  <c r="H18" i="11"/>
  <c r="D18" i="11"/>
  <c r="AG17" i="11"/>
  <c r="AC17" i="11"/>
  <c r="Y17" i="11"/>
  <c r="U17" i="11"/>
  <c r="Q17" i="11"/>
  <c r="M17" i="11"/>
  <c r="I17" i="11"/>
  <c r="E17" i="11"/>
  <c r="A17" i="11"/>
  <c r="AD16" i="11"/>
  <c r="Z16" i="11"/>
  <c r="V16" i="11"/>
  <c r="R16" i="11"/>
  <c r="N16" i="11"/>
  <c r="J16" i="11"/>
  <c r="F16" i="11"/>
  <c r="B16" i="11"/>
  <c r="AE15" i="11"/>
  <c r="AA15" i="11"/>
  <c r="W15" i="11"/>
  <c r="S15" i="11"/>
  <c r="O15" i="11"/>
  <c r="K15" i="11"/>
  <c r="G15" i="11"/>
  <c r="C15" i="11"/>
  <c r="AF14" i="11"/>
  <c r="AB14" i="11"/>
  <c r="X14" i="11"/>
  <c r="T14" i="11"/>
  <c r="P14" i="11"/>
  <c r="L14" i="11"/>
  <c r="H14" i="11"/>
  <c r="D14" i="11"/>
  <c r="AG13" i="11"/>
  <c r="AC13" i="11"/>
  <c r="Y13" i="11"/>
  <c r="U13" i="11"/>
  <c r="Q13" i="11"/>
  <c r="M13" i="11"/>
  <c r="I13" i="11"/>
  <c r="E13" i="11"/>
  <c r="A13" i="11"/>
  <c r="AD12" i="11"/>
  <c r="Z12" i="11"/>
  <c r="V12" i="11"/>
  <c r="R12" i="11"/>
  <c r="N12" i="11"/>
  <c r="J12" i="11"/>
  <c r="F12" i="11"/>
  <c r="B12" i="11"/>
  <c r="AE11" i="11"/>
  <c r="AA11" i="11"/>
  <c r="W11" i="11"/>
  <c r="S11" i="11"/>
  <c r="O11" i="11"/>
  <c r="K11" i="11"/>
  <c r="G11" i="11"/>
  <c r="C11" i="11"/>
  <c r="AF10" i="11"/>
  <c r="AB10" i="11"/>
  <c r="X10" i="11"/>
  <c r="T10" i="11"/>
  <c r="P10" i="11"/>
  <c r="L10" i="11"/>
  <c r="H10" i="11"/>
  <c r="D10" i="11"/>
  <c r="AG9" i="11"/>
  <c r="AC9" i="11"/>
  <c r="Y9" i="11"/>
  <c r="U9" i="11"/>
  <c r="Q9" i="11"/>
  <c r="M9" i="11"/>
  <c r="I9" i="11"/>
  <c r="E9" i="11"/>
  <c r="A9" i="11"/>
  <c r="AD8" i="11"/>
  <c r="Z8" i="11"/>
  <c r="V8" i="11"/>
  <c r="R8" i="11"/>
  <c r="N8" i="11"/>
  <c r="J8" i="11"/>
  <c r="F8" i="11"/>
  <c r="B8" i="11"/>
  <c r="AE7" i="11"/>
  <c r="AA7" i="11"/>
  <c r="W7" i="11"/>
  <c r="S7" i="11"/>
  <c r="O7" i="11"/>
  <c r="K7" i="11"/>
  <c r="G7" i="11"/>
  <c r="C7" i="11"/>
  <c r="AF6" i="11"/>
  <c r="AB6" i="11"/>
  <c r="X6" i="11"/>
  <c r="T6" i="11"/>
  <c r="P6" i="11"/>
  <c r="L6" i="11"/>
  <c r="H6" i="11"/>
  <c r="D6" i="11"/>
  <c r="AG5" i="11"/>
  <c r="AC5" i="11"/>
  <c r="Y5" i="11"/>
  <c r="U5" i="11"/>
  <c r="Q5" i="11"/>
  <c r="M5" i="11"/>
  <c r="I5" i="11"/>
  <c r="E5" i="11"/>
  <c r="A5" i="11"/>
  <c r="AD4" i="11"/>
  <c r="Z4" i="11"/>
  <c r="V4" i="11"/>
  <c r="R4" i="11"/>
  <c r="N4" i="11"/>
  <c r="J4" i="11"/>
  <c r="F4" i="11"/>
  <c r="B4" i="11"/>
  <c r="AE3" i="11"/>
  <c r="AA3" i="11"/>
  <c r="W3" i="11"/>
  <c r="S3" i="11"/>
  <c r="O3" i="11"/>
  <c r="K3" i="11"/>
  <c r="G3" i="11"/>
  <c r="C3" i="11"/>
  <c r="AF2" i="11"/>
  <c r="AB2" i="11"/>
  <c r="X2" i="11"/>
  <c r="T2" i="11"/>
  <c r="P2" i="11"/>
  <c r="L2" i="11"/>
  <c r="H2" i="11"/>
  <c r="D2" i="11"/>
  <c r="AG1" i="11"/>
  <c r="AC1" i="11"/>
  <c r="Y1" i="11"/>
  <c r="U1" i="11"/>
  <c r="Q1" i="11"/>
  <c r="M1" i="11"/>
  <c r="I1" i="11"/>
  <c r="E1" i="11"/>
  <c r="A1" i="11"/>
  <c r="A32" i="9"/>
  <c r="C28" i="9"/>
  <c r="E27" i="9"/>
  <c r="A27" i="9"/>
  <c r="C26" i="9"/>
  <c r="E25" i="9"/>
  <c r="A25" i="9"/>
  <c r="B21" i="9"/>
  <c r="D20" i="9"/>
  <c r="B19" i="9"/>
  <c r="D18" i="9"/>
  <c r="B17" i="9"/>
  <c r="D16" i="9"/>
  <c r="B15" i="9"/>
  <c r="D14" i="9"/>
  <c r="B13" i="9"/>
  <c r="D12" i="9"/>
  <c r="B11" i="9"/>
  <c r="D10" i="9"/>
  <c r="B9" i="9"/>
  <c r="D8" i="9"/>
  <c r="B7" i="9"/>
  <c r="D6" i="9"/>
  <c r="B5" i="9"/>
  <c r="D4" i="9"/>
  <c r="B3" i="9"/>
  <c r="AG42" i="11"/>
  <c r="Y42" i="11"/>
  <c r="Q42" i="11"/>
  <c r="I42" i="11"/>
  <c r="A42" i="11"/>
  <c r="Z41" i="11"/>
  <c r="R41" i="11"/>
  <c r="J41" i="11"/>
  <c r="B41" i="11"/>
  <c r="AA40" i="11"/>
  <c r="S40" i="11"/>
  <c r="K40" i="11"/>
  <c r="C40" i="11"/>
  <c r="AB39" i="11"/>
  <c r="T39" i="11"/>
  <c r="L39" i="11"/>
  <c r="D39" i="11"/>
  <c r="AC38" i="11"/>
  <c r="U38" i="11"/>
  <c r="M38" i="11"/>
  <c r="E38" i="11"/>
  <c r="AD37" i="11"/>
  <c r="V37" i="11"/>
  <c r="N37" i="11"/>
  <c r="F37" i="11"/>
  <c r="AE36" i="11"/>
  <c r="W36" i="11"/>
  <c r="O36" i="11"/>
  <c r="G36" i="11"/>
  <c r="AF35" i="11"/>
  <c r="X35" i="11"/>
  <c r="P35" i="11"/>
  <c r="H35" i="11"/>
  <c r="AG34" i="11"/>
  <c r="Y34" i="11"/>
  <c r="Q34" i="11"/>
  <c r="I34" i="11"/>
  <c r="A34" i="11"/>
  <c r="Z33" i="11"/>
  <c r="R33" i="11"/>
  <c r="J33" i="11"/>
  <c r="B33" i="11"/>
  <c r="AA32" i="11"/>
  <c r="S32" i="11"/>
  <c r="K32" i="11"/>
  <c r="C32" i="11"/>
  <c r="AB31" i="11"/>
  <c r="T31" i="11"/>
  <c r="L31" i="11"/>
  <c r="D31" i="11"/>
  <c r="AC30" i="11"/>
  <c r="U30" i="11"/>
  <c r="M30" i="11"/>
  <c r="E30" i="11"/>
  <c r="AD29" i="11"/>
  <c r="V29" i="11"/>
  <c r="N29" i="11"/>
  <c r="F29" i="11"/>
  <c r="AE28" i="11"/>
  <c r="W28" i="11"/>
  <c r="O28" i="11"/>
  <c r="G28" i="11"/>
  <c r="AG27" i="11"/>
  <c r="AB27" i="11"/>
  <c r="V27" i="11"/>
  <c r="R27" i="11"/>
  <c r="N27" i="11"/>
  <c r="J27" i="11"/>
  <c r="F27" i="11"/>
  <c r="B27" i="11"/>
  <c r="AE26" i="11"/>
  <c r="AA26" i="11"/>
  <c r="W26" i="11"/>
  <c r="S26" i="11"/>
  <c r="O26" i="11"/>
  <c r="K26" i="11"/>
  <c r="G26" i="11"/>
  <c r="C26" i="11"/>
  <c r="AF25" i="11"/>
  <c r="AB25" i="11"/>
  <c r="X25" i="11"/>
  <c r="T25" i="11"/>
  <c r="P25" i="11"/>
  <c r="L25" i="11"/>
  <c r="H25" i="11"/>
  <c r="D25" i="11"/>
  <c r="AG24" i="11"/>
  <c r="AC24" i="11"/>
  <c r="Y24" i="11"/>
  <c r="U24" i="11"/>
  <c r="Q24" i="11"/>
  <c r="M24" i="11"/>
  <c r="I24" i="11"/>
  <c r="E24" i="11"/>
  <c r="A24" i="11"/>
  <c r="AD23" i="11"/>
  <c r="Z23" i="11"/>
  <c r="V23" i="11"/>
  <c r="R23" i="11"/>
  <c r="N23" i="11"/>
  <c r="J23" i="11"/>
  <c r="F23" i="11"/>
  <c r="B23" i="11"/>
  <c r="AE22" i="11"/>
  <c r="AA22" i="11"/>
  <c r="W22" i="11"/>
  <c r="S22" i="11"/>
  <c r="O22" i="11"/>
  <c r="K22" i="11"/>
  <c r="G22" i="11"/>
  <c r="C22" i="11"/>
  <c r="AF21" i="11"/>
  <c r="AB21" i="11"/>
  <c r="X21" i="11"/>
  <c r="T21" i="11"/>
  <c r="P21" i="11"/>
  <c r="L21" i="11"/>
  <c r="H21" i="11"/>
  <c r="D21" i="11"/>
  <c r="AG20" i="11"/>
  <c r="AC20" i="11"/>
  <c r="Y20" i="11"/>
  <c r="U20" i="11"/>
  <c r="Q20" i="11"/>
  <c r="M20" i="11"/>
  <c r="I20" i="11"/>
  <c r="E20" i="11"/>
  <c r="A20" i="11"/>
  <c r="AD19" i="11"/>
  <c r="Z19" i="11"/>
  <c r="V19" i="11"/>
  <c r="R19" i="11"/>
  <c r="N19" i="11"/>
  <c r="J19" i="11"/>
  <c r="F19" i="11"/>
  <c r="B19" i="11"/>
  <c r="AE18" i="11"/>
  <c r="AA18" i="11"/>
  <c r="W18" i="11"/>
  <c r="S18" i="11"/>
  <c r="O18" i="11"/>
  <c r="K18" i="11"/>
  <c r="G18" i="11"/>
  <c r="C18" i="11"/>
  <c r="AF17" i="11"/>
  <c r="AB17" i="11"/>
  <c r="X17" i="11"/>
  <c r="T17" i="11"/>
  <c r="P17" i="11"/>
  <c r="L17" i="11"/>
  <c r="H17" i="11"/>
  <c r="D17" i="11"/>
  <c r="AG16" i="11"/>
  <c r="AC16" i="11"/>
  <c r="Y16" i="11"/>
  <c r="U16" i="11"/>
  <c r="Q16" i="11"/>
  <c r="M16" i="11"/>
  <c r="I16" i="11"/>
  <c r="E16" i="11"/>
  <c r="A16" i="11"/>
  <c r="AD15" i="11"/>
  <c r="Z15" i="11"/>
  <c r="V15" i="11"/>
  <c r="R15" i="11"/>
  <c r="N15" i="11"/>
  <c r="J15" i="11"/>
  <c r="F15" i="11"/>
  <c r="B15" i="11"/>
  <c r="AE14" i="11"/>
  <c r="AA14" i="11"/>
  <c r="W14" i="11"/>
  <c r="S14" i="11"/>
  <c r="O14" i="11"/>
  <c r="K14" i="11"/>
  <c r="G14" i="11"/>
  <c r="C14" i="11"/>
  <c r="AF13" i="11"/>
  <c r="AB13" i="11"/>
  <c r="X13" i="11"/>
  <c r="T13" i="11"/>
  <c r="P13" i="11"/>
  <c r="L13" i="11"/>
  <c r="H13" i="11"/>
  <c r="D13" i="11"/>
  <c r="AG12" i="11"/>
  <c r="AC12" i="11"/>
  <c r="Y12" i="11"/>
  <c r="U12" i="11"/>
  <c r="Q12" i="11"/>
  <c r="M12" i="11"/>
  <c r="I12" i="11"/>
  <c r="E12" i="11"/>
  <c r="A12" i="11"/>
  <c r="AD11" i="11"/>
  <c r="Z11" i="11"/>
  <c r="V11" i="11"/>
  <c r="R11" i="11"/>
  <c r="N11" i="11"/>
  <c r="J11" i="11"/>
  <c r="F11" i="11"/>
  <c r="B11" i="11"/>
  <c r="AE10" i="11"/>
  <c r="AA10" i="11"/>
  <c r="W10" i="11"/>
  <c r="S10" i="11"/>
  <c r="O10" i="11"/>
  <c r="K10" i="11"/>
  <c r="G10" i="11"/>
  <c r="C10" i="11"/>
  <c r="AF9" i="11"/>
  <c r="AB9" i="11"/>
  <c r="X9" i="11"/>
  <c r="T9" i="11"/>
  <c r="P9" i="11"/>
  <c r="L9" i="11"/>
  <c r="H9" i="11"/>
  <c r="D9" i="11"/>
  <c r="AG8" i="11"/>
  <c r="AC8" i="11"/>
  <c r="Y8" i="11"/>
  <c r="U8" i="11"/>
  <c r="Q8" i="11"/>
  <c r="M8" i="11"/>
  <c r="I8" i="11"/>
  <c r="E8" i="11"/>
  <c r="A8" i="11"/>
  <c r="AD7" i="11"/>
  <c r="Z7" i="11"/>
  <c r="V7" i="11"/>
  <c r="R7" i="11"/>
  <c r="N7" i="11"/>
  <c r="J7" i="11"/>
  <c r="F7" i="11"/>
  <c r="B7" i="11"/>
  <c r="AE6" i="11"/>
  <c r="AA6" i="11"/>
  <c r="W6" i="11"/>
  <c r="S6" i="11"/>
  <c r="O6" i="11"/>
  <c r="K6" i="11"/>
  <c r="G6" i="11"/>
  <c r="C6" i="11"/>
  <c r="AF5" i="11"/>
  <c r="AB5" i="11"/>
  <c r="X5" i="11"/>
  <c r="T5" i="11"/>
  <c r="P5" i="11"/>
  <c r="L5" i="11"/>
  <c r="H5" i="11"/>
  <c r="D5" i="11"/>
  <c r="AG4" i="11"/>
  <c r="AC4" i="11"/>
  <c r="Y4" i="11"/>
  <c r="U4" i="11"/>
  <c r="Q4" i="11"/>
  <c r="M4" i="11"/>
  <c r="I4" i="11"/>
  <c r="E4" i="11"/>
  <c r="A4" i="11"/>
  <c r="AD3" i="11"/>
  <c r="Z3" i="11"/>
  <c r="V3" i="11"/>
  <c r="R3" i="11"/>
  <c r="N3" i="11"/>
  <c r="J3" i="11"/>
  <c r="F3" i="11"/>
  <c r="B3" i="11"/>
  <c r="AE2" i="11"/>
  <c r="AA2" i="11"/>
  <c r="W2" i="11"/>
  <c r="S2" i="11"/>
  <c r="O2" i="11"/>
  <c r="K2" i="11"/>
  <c r="G2" i="11"/>
  <c r="C2" i="11"/>
  <c r="AF1" i="11"/>
  <c r="AB1" i="11"/>
  <c r="X1" i="11"/>
  <c r="T1" i="11"/>
  <c r="P1" i="11"/>
  <c r="L1" i="11"/>
  <c r="H1" i="11"/>
  <c r="D1" i="11"/>
  <c r="D32" i="9"/>
  <c r="B28" i="9"/>
  <c r="D27" i="9"/>
  <c r="B26" i="9"/>
  <c r="D25" i="9"/>
  <c r="E21" i="9"/>
  <c r="A21" i="9"/>
  <c r="C20" i="9"/>
  <c r="E19" i="9"/>
  <c r="A19" i="9"/>
  <c r="C18" i="9"/>
  <c r="E17" i="9"/>
  <c r="A17" i="9"/>
  <c r="C16" i="9"/>
  <c r="E15" i="9"/>
  <c r="A15" i="9"/>
  <c r="C14" i="9"/>
  <c r="E13" i="9"/>
  <c r="A13" i="9"/>
  <c r="C12" i="9"/>
  <c r="E11" i="9"/>
  <c r="A11" i="9"/>
  <c r="C10" i="9"/>
  <c r="E9" i="9"/>
  <c r="A9" i="9"/>
  <c r="C8" i="9"/>
  <c r="E7" i="9"/>
  <c r="A7" i="9"/>
  <c r="C6" i="9"/>
  <c r="E5" i="9"/>
  <c r="A5" i="9"/>
  <c r="C4" i="9"/>
  <c r="E3" i="9"/>
  <c r="A3" i="9"/>
  <c r="B18" i="7"/>
  <c r="C17" i="7"/>
  <c r="D16" i="7"/>
  <c r="B15" i="7"/>
  <c r="B14" i="7"/>
  <c r="C13" i="7"/>
  <c r="D12" i="7"/>
  <c r="A11" i="7"/>
  <c r="B10" i="7"/>
  <c r="C9" i="7"/>
  <c r="D8" i="7"/>
  <c r="A7" i="7"/>
  <c r="B6" i="7"/>
  <c r="C5" i="7"/>
  <c r="D4" i="7"/>
  <c r="A3" i="7"/>
  <c r="C39" i="6"/>
  <c r="D30" i="6"/>
  <c r="A36" i="6"/>
  <c r="B81" i="6"/>
  <c r="C82" i="6"/>
  <c r="D33" i="6"/>
  <c r="A80" i="6"/>
  <c r="B46" i="6"/>
  <c r="C10" i="6"/>
  <c r="D79" i="6"/>
  <c r="A78" i="6"/>
  <c r="B19" i="6"/>
  <c r="C14" i="6"/>
  <c r="D77" i="6"/>
  <c r="A11" i="6"/>
  <c r="B76" i="6"/>
  <c r="C75" i="6"/>
  <c r="D48" i="6"/>
  <c r="A74" i="6"/>
  <c r="B26" i="6"/>
  <c r="C45" i="6"/>
  <c r="D41" i="6"/>
  <c r="A20" i="6"/>
  <c r="B73" i="6"/>
  <c r="C23" i="6"/>
  <c r="D16" i="6"/>
  <c r="A72" i="6"/>
  <c r="B50" i="6"/>
  <c r="C71" i="6"/>
  <c r="D12" i="6"/>
  <c r="A70" i="6"/>
  <c r="B37" i="6"/>
  <c r="C43" i="6"/>
  <c r="D69" i="6"/>
  <c r="A7" i="6"/>
  <c r="B68" i="6"/>
  <c r="C18" i="6"/>
  <c r="D67" i="6"/>
  <c r="A27" i="6"/>
  <c r="B29" i="6"/>
  <c r="C66" i="6"/>
  <c r="D31" i="6"/>
  <c r="A65" i="6"/>
  <c r="B64" i="6"/>
  <c r="C63" i="6"/>
  <c r="D62" i="6"/>
  <c r="A22" i="6"/>
  <c r="B13" i="6"/>
  <c r="C61" i="6"/>
  <c r="D60" i="6"/>
  <c r="A59" i="6"/>
  <c r="B9" i="6"/>
  <c r="C34" i="6"/>
  <c r="D25" i="6"/>
  <c r="A58" i="6"/>
  <c r="B57" i="6"/>
  <c r="C17" i="6"/>
  <c r="D56" i="6"/>
  <c r="A38" i="6"/>
  <c r="B55" i="6"/>
  <c r="C54" i="6"/>
  <c r="D40" i="6"/>
  <c r="A53" i="6"/>
  <c r="B47" i="6"/>
  <c r="C52" i="6"/>
  <c r="D3" i="6"/>
  <c r="A42" i="6"/>
  <c r="B21" i="6"/>
  <c r="C8" i="6"/>
  <c r="D6" i="6"/>
  <c r="A32" i="6"/>
  <c r="B5" i="6"/>
  <c r="C4" i="6"/>
  <c r="D49" i="6"/>
  <c r="A35" i="6"/>
  <c r="B15" i="6"/>
  <c r="C51" i="6"/>
  <c r="D44" i="6"/>
  <c r="A24" i="6"/>
  <c r="B28" i="6"/>
  <c r="B39" i="5"/>
  <c r="C38" i="5"/>
  <c r="D37" i="5"/>
  <c r="AE42" i="11"/>
  <c r="W42" i="11"/>
  <c r="O42" i="11"/>
  <c r="G42" i="11"/>
  <c r="AF41" i="11"/>
  <c r="X41" i="11"/>
  <c r="P41" i="11"/>
  <c r="H41" i="11"/>
  <c r="AG40" i="11"/>
  <c r="Y40" i="11"/>
  <c r="Q40" i="11"/>
  <c r="I40" i="11"/>
  <c r="A40" i="11"/>
  <c r="Z39" i="11"/>
  <c r="R39" i="11"/>
  <c r="J39" i="11"/>
  <c r="B39" i="11"/>
  <c r="AA38" i="11"/>
  <c r="S38" i="11"/>
  <c r="K38" i="11"/>
  <c r="C38" i="11"/>
  <c r="AB37" i="11"/>
  <c r="T37" i="11"/>
  <c r="L37" i="11"/>
  <c r="D37" i="11"/>
  <c r="AC36" i="11"/>
  <c r="U36" i="11"/>
  <c r="M36" i="11"/>
  <c r="E36" i="11"/>
  <c r="AD35" i="11"/>
  <c r="V35" i="11"/>
  <c r="N35" i="11"/>
  <c r="F35" i="11"/>
  <c r="AE34" i="11"/>
  <c r="W34" i="11"/>
  <c r="O34" i="11"/>
  <c r="G34" i="11"/>
  <c r="AF33" i="11"/>
  <c r="X33" i="11"/>
  <c r="P33" i="11"/>
  <c r="H33" i="11"/>
  <c r="AG32" i="11"/>
  <c r="Y32" i="11"/>
  <c r="Q32" i="11"/>
  <c r="I32" i="11"/>
  <c r="A32" i="11"/>
  <c r="Z31" i="11"/>
  <c r="R31" i="11"/>
  <c r="J31" i="11"/>
  <c r="B31" i="11"/>
  <c r="AA30" i="11"/>
  <c r="S30" i="11"/>
  <c r="K30" i="11"/>
  <c r="C30" i="11"/>
  <c r="AB29" i="11"/>
  <c r="T29" i="11"/>
  <c r="L29" i="11"/>
  <c r="D29" i="11"/>
  <c r="AC28" i="11"/>
  <c r="U28" i="11"/>
  <c r="M28" i="11"/>
  <c r="E28" i="11"/>
  <c r="AF27" i="11"/>
  <c r="Z27" i="11"/>
  <c r="U27" i="11"/>
  <c r="Q27" i="11"/>
  <c r="M27" i="11"/>
  <c r="I27" i="11"/>
  <c r="E27" i="11"/>
  <c r="A27" i="11"/>
  <c r="AD26" i="11"/>
  <c r="Z26" i="11"/>
  <c r="V26" i="11"/>
  <c r="R26" i="11"/>
  <c r="N26" i="11"/>
  <c r="J26" i="11"/>
  <c r="F26" i="11"/>
  <c r="B26" i="11"/>
  <c r="AE25" i="11"/>
  <c r="AA25" i="11"/>
  <c r="W25" i="11"/>
  <c r="S25" i="11"/>
  <c r="O25" i="11"/>
  <c r="K25" i="11"/>
  <c r="G25" i="11"/>
  <c r="C25" i="11"/>
  <c r="AF24" i="11"/>
  <c r="AB24" i="11"/>
  <c r="X24" i="11"/>
  <c r="T24" i="11"/>
  <c r="P24" i="11"/>
  <c r="L24" i="11"/>
  <c r="H24" i="11"/>
  <c r="D24" i="11"/>
  <c r="AG23" i="11"/>
  <c r="AC23" i="11"/>
  <c r="Y23" i="11"/>
  <c r="U23" i="11"/>
  <c r="Q23" i="11"/>
  <c r="M23" i="11"/>
  <c r="I23" i="11"/>
  <c r="E23" i="11"/>
  <c r="A23" i="11"/>
  <c r="AD22" i="11"/>
  <c r="Z22" i="11"/>
  <c r="V22" i="11"/>
  <c r="R22" i="11"/>
  <c r="N22" i="11"/>
  <c r="J22" i="11"/>
  <c r="F22" i="11"/>
  <c r="B22" i="11"/>
  <c r="AE21" i="11"/>
  <c r="AA21" i="11"/>
  <c r="W21" i="11"/>
  <c r="S21" i="11"/>
  <c r="O21" i="11"/>
  <c r="K21" i="11"/>
  <c r="G21" i="11"/>
  <c r="C21" i="11"/>
  <c r="AF20" i="11"/>
  <c r="AB20" i="11"/>
  <c r="X20" i="11"/>
  <c r="T20" i="11"/>
  <c r="P20" i="11"/>
  <c r="L20" i="11"/>
  <c r="H20" i="11"/>
  <c r="D20" i="11"/>
  <c r="AG19" i="11"/>
  <c r="AC19" i="11"/>
  <c r="Y19" i="11"/>
  <c r="U19" i="11"/>
  <c r="Q19" i="11"/>
  <c r="M19" i="11"/>
  <c r="I19" i="11"/>
  <c r="E19" i="11"/>
  <c r="A19" i="11"/>
  <c r="AD18" i="11"/>
  <c r="Z18" i="11"/>
  <c r="V18" i="11"/>
  <c r="R18" i="11"/>
  <c r="N18" i="11"/>
  <c r="J18" i="11"/>
  <c r="F18" i="11"/>
  <c r="B18" i="11"/>
  <c r="AE17" i="11"/>
  <c r="AA17" i="11"/>
  <c r="W17" i="11"/>
  <c r="S17" i="11"/>
  <c r="O17" i="11"/>
  <c r="K17" i="11"/>
  <c r="G17" i="11"/>
  <c r="C17" i="11"/>
  <c r="AF16" i="11"/>
  <c r="AB16" i="11"/>
  <c r="X16" i="11"/>
  <c r="T16" i="11"/>
  <c r="P16" i="11"/>
  <c r="L16" i="11"/>
  <c r="H16" i="11"/>
  <c r="D16" i="11"/>
  <c r="AG15" i="11"/>
  <c r="AC15" i="11"/>
  <c r="Y15" i="11"/>
  <c r="U15" i="11"/>
  <c r="Q15" i="11"/>
  <c r="M15" i="11"/>
  <c r="I15" i="11"/>
  <c r="E15" i="11"/>
  <c r="A15" i="11"/>
  <c r="AD14" i="11"/>
  <c r="Z14" i="11"/>
  <c r="V14" i="11"/>
  <c r="R14" i="11"/>
  <c r="N14" i="11"/>
  <c r="J14" i="11"/>
  <c r="F14" i="11"/>
  <c r="B14" i="11"/>
  <c r="AE13" i="11"/>
  <c r="AA13" i="11"/>
  <c r="W13" i="11"/>
  <c r="S13" i="11"/>
  <c r="O13" i="11"/>
  <c r="K13" i="11"/>
  <c r="G13" i="11"/>
  <c r="C13" i="11"/>
  <c r="AF12" i="11"/>
  <c r="AB12" i="11"/>
  <c r="X12" i="11"/>
  <c r="T12" i="11"/>
  <c r="P12" i="11"/>
  <c r="L12" i="11"/>
  <c r="H12" i="11"/>
  <c r="D12" i="11"/>
  <c r="AG11" i="11"/>
  <c r="AC11" i="11"/>
  <c r="Y11" i="11"/>
  <c r="U11" i="11"/>
  <c r="Q11" i="11"/>
  <c r="M11" i="11"/>
  <c r="I11" i="11"/>
  <c r="E11" i="11"/>
  <c r="A11" i="11"/>
  <c r="AD10" i="11"/>
  <c r="Z10" i="11"/>
  <c r="V10" i="11"/>
  <c r="R10" i="11"/>
  <c r="N10" i="11"/>
  <c r="J10" i="11"/>
  <c r="F10" i="11"/>
  <c r="B10" i="11"/>
  <c r="AE9" i="11"/>
  <c r="AA9" i="11"/>
  <c r="W9" i="11"/>
  <c r="S9" i="11"/>
  <c r="O9" i="11"/>
  <c r="K9" i="11"/>
  <c r="G9" i="11"/>
  <c r="C9" i="11"/>
  <c r="AF8" i="11"/>
  <c r="AB8" i="11"/>
  <c r="X8" i="11"/>
  <c r="T8" i="11"/>
  <c r="P8" i="11"/>
  <c r="L8" i="11"/>
  <c r="H8" i="11"/>
  <c r="D8" i="11"/>
  <c r="AG7" i="11"/>
  <c r="AC7" i="11"/>
  <c r="Y7" i="11"/>
  <c r="U7" i="11"/>
  <c r="Q7" i="11"/>
  <c r="M7" i="11"/>
  <c r="I7" i="11"/>
  <c r="E7" i="11"/>
  <c r="A7" i="11"/>
  <c r="AD6" i="11"/>
  <c r="Z6" i="11"/>
  <c r="V6" i="11"/>
  <c r="R6" i="11"/>
  <c r="N6" i="11"/>
  <c r="J6" i="11"/>
  <c r="F6" i="11"/>
  <c r="B6" i="11"/>
  <c r="AE5" i="11"/>
  <c r="AA5" i="11"/>
  <c r="W5" i="11"/>
  <c r="S5" i="11"/>
  <c r="O5" i="11"/>
  <c r="K5" i="11"/>
  <c r="G5" i="11"/>
  <c r="C5" i="11"/>
  <c r="AF4" i="11"/>
  <c r="AB4" i="11"/>
  <c r="X4" i="11"/>
  <c r="T4" i="11"/>
  <c r="P4" i="11"/>
  <c r="L4" i="11"/>
  <c r="H4" i="11"/>
  <c r="D4" i="11"/>
  <c r="AG3" i="11"/>
  <c r="AC3" i="11"/>
  <c r="Y3" i="11"/>
  <c r="U3" i="11"/>
  <c r="Q3" i="11"/>
  <c r="M3" i="11"/>
  <c r="I3" i="11"/>
  <c r="E3" i="11"/>
  <c r="A3" i="11"/>
  <c r="AD2" i="11"/>
  <c r="Z2" i="11"/>
  <c r="V2" i="11"/>
  <c r="R2" i="11"/>
  <c r="N2" i="11"/>
  <c r="J2" i="11"/>
  <c r="F2" i="11"/>
  <c r="B2" i="11"/>
  <c r="AE1" i="11"/>
  <c r="AA1" i="11"/>
  <c r="W1" i="11"/>
  <c r="S1" i="11"/>
  <c r="O1" i="11"/>
  <c r="K1" i="11"/>
  <c r="G1" i="11"/>
  <c r="C1" i="11"/>
  <c r="C32" i="9"/>
  <c r="E28" i="9"/>
  <c r="A28" i="9"/>
  <c r="C27" i="9"/>
  <c r="E26" i="9"/>
  <c r="A26" i="9"/>
  <c r="C25" i="9"/>
  <c r="D21" i="9"/>
  <c r="B20" i="9"/>
  <c r="D19" i="9"/>
  <c r="B18" i="9"/>
  <c r="D17" i="9"/>
  <c r="B16" i="9"/>
  <c r="D15" i="9"/>
  <c r="B14" i="9"/>
  <c r="D13" i="9"/>
  <c r="B12" i="9"/>
  <c r="D11" i="9"/>
  <c r="B10" i="9"/>
  <c r="D9" i="9"/>
  <c r="B8" i="9"/>
  <c r="D7" i="9"/>
  <c r="B6" i="9"/>
  <c r="D5" i="9"/>
  <c r="B4" i="9"/>
  <c r="D3" i="9"/>
  <c r="A18" i="7"/>
  <c r="B17" i="7"/>
  <c r="C16" i="7"/>
  <c r="A15" i="7"/>
  <c r="A14" i="7"/>
  <c r="B13" i="7"/>
  <c r="C12" i="7"/>
  <c r="D11" i="7"/>
  <c r="A10" i="7"/>
  <c r="B9" i="7"/>
  <c r="C8" i="7"/>
  <c r="D7" i="7"/>
  <c r="A6" i="7"/>
  <c r="B5" i="7"/>
  <c r="C4" i="7"/>
  <c r="D3" i="7"/>
  <c r="B39" i="6"/>
  <c r="C30" i="6"/>
  <c r="D36" i="6"/>
  <c r="A81" i="6"/>
  <c r="B82" i="6"/>
  <c r="C33" i="6"/>
  <c r="D80" i="6"/>
  <c r="A46" i="6"/>
  <c r="B10" i="6"/>
  <c r="C79" i="6"/>
  <c r="D78" i="6"/>
  <c r="A19" i="6"/>
  <c r="B14" i="6"/>
  <c r="C77" i="6"/>
  <c r="D11" i="6"/>
  <c r="A76" i="6"/>
  <c r="B75" i="6"/>
  <c r="C48" i="6"/>
  <c r="D74" i="6"/>
  <c r="A26" i="6"/>
  <c r="B45" i="6"/>
  <c r="AC42" i="11"/>
  <c r="U42" i="11"/>
  <c r="M42" i="11"/>
  <c r="E42" i="11"/>
  <c r="AD41" i="11"/>
  <c r="V41" i="11"/>
  <c r="N41" i="11"/>
  <c r="F41" i="11"/>
  <c r="AE40" i="11"/>
  <c r="W40" i="11"/>
  <c r="O40" i="11"/>
  <c r="G40" i="11"/>
  <c r="AF39" i="11"/>
  <c r="X39" i="11"/>
  <c r="P39" i="11"/>
  <c r="H39" i="11"/>
  <c r="AG38" i="11"/>
  <c r="Y38" i="11"/>
  <c r="Q38" i="11"/>
  <c r="I38" i="11"/>
  <c r="A38" i="11"/>
  <c r="Z37" i="11"/>
  <c r="R37" i="11"/>
  <c r="J37" i="11"/>
  <c r="B37" i="11"/>
  <c r="AA36" i="11"/>
  <c r="S36" i="11"/>
  <c r="K36" i="11"/>
  <c r="C36" i="11"/>
  <c r="AB35" i="11"/>
  <c r="T35" i="11"/>
  <c r="L35" i="11"/>
  <c r="D35" i="11"/>
  <c r="AC34" i="11"/>
  <c r="U34" i="11"/>
  <c r="M34" i="11"/>
  <c r="E34" i="11"/>
  <c r="AD33" i="11"/>
  <c r="V33" i="11"/>
  <c r="N33" i="11"/>
  <c r="F33" i="11"/>
  <c r="AE32" i="11"/>
  <c r="W32" i="11"/>
  <c r="O32" i="11"/>
  <c r="G32" i="11"/>
  <c r="AF31" i="11"/>
  <c r="X31" i="11"/>
  <c r="P31" i="11"/>
  <c r="H31" i="11"/>
  <c r="AG30" i="11"/>
  <c r="Y30" i="11"/>
  <c r="Q30" i="11"/>
  <c r="I30" i="11"/>
  <c r="A30" i="11"/>
  <c r="Z29" i="11"/>
  <c r="R29" i="11"/>
  <c r="J29" i="11"/>
  <c r="B29" i="11"/>
  <c r="AA28" i="11"/>
  <c r="S28" i="11"/>
  <c r="K28" i="11"/>
  <c r="C28" i="11"/>
  <c r="AD27" i="11"/>
  <c r="Y27" i="11"/>
  <c r="T27" i="11"/>
  <c r="P27" i="11"/>
  <c r="L27" i="11"/>
  <c r="H27" i="11"/>
  <c r="D27" i="11"/>
  <c r="AG26" i="11"/>
  <c r="AC26" i="11"/>
  <c r="Y26" i="11"/>
  <c r="U26" i="11"/>
  <c r="Q26" i="11"/>
  <c r="M26" i="11"/>
  <c r="I26" i="11"/>
  <c r="E26" i="11"/>
  <c r="A26" i="11"/>
  <c r="AD25" i="11"/>
  <c r="Z25" i="11"/>
  <c r="V25" i="11"/>
  <c r="R25" i="11"/>
  <c r="N25" i="11"/>
  <c r="J25" i="11"/>
  <c r="F25" i="11"/>
  <c r="B25" i="11"/>
  <c r="AE24" i="11"/>
  <c r="AA24" i="11"/>
  <c r="W24" i="11"/>
  <c r="S24" i="11"/>
  <c r="O24" i="11"/>
  <c r="K24" i="11"/>
  <c r="G24" i="11"/>
  <c r="C24" i="11"/>
  <c r="AF23" i="11"/>
  <c r="AB23" i="11"/>
  <c r="X23" i="11"/>
  <c r="T23" i="11"/>
  <c r="P23" i="11"/>
  <c r="L23" i="11"/>
  <c r="H23" i="11"/>
  <c r="D23" i="11"/>
  <c r="AG22" i="11"/>
  <c r="AC22" i="11"/>
  <c r="Y22" i="11"/>
  <c r="U22" i="11"/>
  <c r="Q22" i="11"/>
  <c r="M22" i="11"/>
  <c r="I22" i="11"/>
  <c r="E22" i="11"/>
  <c r="A22" i="11"/>
  <c r="AD21" i="11"/>
  <c r="Z21" i="11"/>
  <c r="V21" i="11"/>
  <c r="R21" i="11"/>
  <c r="N21" i="11"/>
  <c r="J21" i="11"/>
  <c r="F21" i="11"/>
  <c r="B21" i="11"/>
  <c r="AE20" i="11"/>
  <c r="AA20" i="11"/>
  <c r="W20" i="11"/>
  <c r="S20" i="11"/>
  <c r="O20" i="11"/>
  <c r="K20" i="11"/>
  <c r="G20" i="11"/>
  <c r="C20" i="11"/>
  <c r="AF19" i="11"/>
  <c r="AB19" i="11"/>
  <c r="X19" i="11"/>
  <c r="T19" i="11"/>
  <c r="P19" i="11"/>
  <c r="L19" i="11"/>
  <c r="H19" i="11"/>
  <c r="D19" i="11"/>
  <c r="AG18" i="11"/>
  <c r="AC18" i="11"/>
  <c r="Y18" i="11"/>
  <c r="U18" i="11"/>
  <c r="Q18" i="11"/>
  <c r="M18" i="11"/>
  <c r="I18" i="11"/>
  <c r="E18" i="11"/>
  <c r="A18" i="11"/>
  <c r="AD17" i="11"/>
  <c r="Z17" i="11"/>
  <c r="V17" i="11"/>
  <c r="R17" i="11"/>
  <c r="N17" i="11"/>
  <c r="J17" i="11"/>
  <c r="F17" i="11"/>
  <c r="B17" i="11"/>
  <c r="AE16" i="11"/>
  <c r="AA16" i="11"/>
  <c r="W16" i="11"/>
  <c r="S16" i="11"/>
  <c r="O16" i="11"/>
  <c r="K16" i="11"/>
  <c r="G16" i="11"/>
  <c r="C16" i="11"/>
  <c r="AF15" i="11"/>
  <c r="AB15" i="11"/>
  <c r="X15" i="11"/>
  <c r="T15" i="11"/>
  <c r="P15" i="11"/>
  <c r="L15" i="11"/>
  <c r="H15" i="11"/>
  <c r="D15" i="11"/>
  <c r="AG14" i="11"/>
  <c r="AC14" i="11"/>
  <c r="Y14" i="11"/>
  <c r="U14" i="11"/>
  <c r="Q14" i="11"/>
  <c r="M14" i="11"/>
  <c r="I14" i="11"/>
  <c r="E14" i="11"/>
  <c r="A14" i="11"/>
  <c r="AD13" i="11"/>
  <c r="Z13" i="11"/>
  <c r="V13" i="11"/>
  <c r="R13" i="11"/>
  <c r="N13" i="11"/>
  <c r="J13" i="11"/>
  <c r="F13" i="11"/>
  <c r="B13" i="11"/>
  <c r="AE12" i="11"/>
  <c r="AA12" i="11"/>
  <c r="W12" i="11"/>
  <c r="S12" i="11"/>
  <c r="O12" i="11"/>
  <c r="K12" i="11"/>
  <c r="G12" i="11"/>
  <c r="C12" i="11"/>
  <c r="AF11" i="11"/>
  <c r="AB11" i="11"/>
  <c r="X11" i="11"/>
  <c r="T11" i="11"/>
  <c r="P11" i="11"/>
  <c r="L11" i="11"/>
  <c r="H11" i="11"/>
  <c r="D11" i="11"/>
  <c r="AG10" i="11"/>
  <c r="AC10" i="11"/>
  <c r="Y10" i="11"/>
  <c r="U10" i="11"/>
  <c r="Q10" i="11"/>
  <c r="M10" i="11"/>
  <c r="I10" i="11"/>
  <c r="E10" i="11"/>
  <c r="A10" i="11"/>
  <c r="AD9" i="11"/>
  <c r="Z9" i="11"/>
  <c r="V9" i="11"/>
  <c r="R9" i="11"/>
  <c r="N9" i="11"/>
  <c r="J9" i="11"/>
  <c r="F9" i="11"/>
  <c r="B9" i="11"/>
  <c r="AE8" i="11"/>
  <c r="AA8" i="11"/>
  <c r="W8" i="11"/>
  <c r="S8" i="11"/>
  <c r="O8" i="11"/>
  <c r="K8" i="11"/>
  <c r="G8" i="11"/>
  <c r="C8" i="11"/>
  <c r="AF7" i="11"/>
  <c r="AB7" i="11"/>
  <c r="X7" i="11"/>
  <c r="T7" i="11"/>
  <c r="P7" i="11"/>
  <c r="L7" i="11"/>
  <c r="H7" i="11"/>
  <c r="D7" i="11"/>
  <c r="AG6" i="11"/>
  <c r="AC6" i="11"/>
  <c r="Y6" i="11"/>
  <c r="U6" i="11"/>
  <c r="Q6" i="11"/>
  <c r="M6" i="11"/>
  <c r="I6" i="11"/>
  <c r="E6" i="11"/>
  <c r="A6" i="11"/>
  <c r="AD5" i="11"/>
  <c r="Z5" i="11"/>
  <c r="V5" i="11"/>
  <c r="R5" i="11"/>
  <c r="N5" i="11"/>
  <c r="J5" i="11"/>
  <c r="F5" i="11"/>
  <c r="B5" i="11"/>
  <c r="AE4" i="11"/>
  <c r="AA4" i="11"/>
  <c r="W4" i="11"/>
  <c r="S4" i="11"/>
  <c r="O4" i="11"/>
  <c r="K4" i="11"/>
  <c r="G4" i="11"/>
  <c r="C4" i="11"/>
  <c r="AF3" i="11"/>
  <c r="AB3" i="11"/>
  <c r="X3" i="11"/>
  <c r="T3" i="11"/>
  <c r="P3" i="11"/>
  <c r="L3" i="11"/>
  <c r="H3" i="11"/>
  <c r="D3" i="11"/>
  <c r="AG2" i="11"/>
  <c r="AC2" i="11"/>
  <c r="Y2" i="11"/>
  <c r="U2" i="11"/>
  <c r="Q2" i="11"/>
  <c r="M2" i="11"/>
  <c r="I2" i="11"/>
  <c r="E2" i="11"/>
  <c r="A2" i="11"/>
  <c r="AD1" i="11"/>
  <c r="Z1" i="11"/>
  <c r="V1" i="11"/>
  <c r="R1" i="11"/>
  <c r="N1" i="11"/>
  <c r="J1" i="11"/>
  <c r="F1" i="11"/>
  <c r="B1" i="11"/>
  <c r="B32" i="9"/>
  <c r="D28" i="9"/>
  <c r="B27" i="9"/>
  <c r="D26" i="9"/>
  <c r="B25" i="9"/>
  <c r="C21" i="9"/>
  <c r="E20" i="9"/>
  <c r="A20" i="9"/>
  <c r="C19" i="9"/>
  <c r="E18" i="9"/>
  <c r="A18" i="9"/>
  <c r="C17" i="9"/>
  <c r="E16" i="9"/>
  <c r="A16" i="9"/>
  <c r="C15" i="9"/>
  <c r="E14" i="9"/>
  <c r="A14" i="9"/>
  <c r="C13" i="9"/>
  <c r="E12" i="9"/>
  <c r="A12" i="9"/>
  <c r="C11" i="9"/>
  <c r="E10" i="9"/>
  <c r="A10" i="9"/>
  <c r="C9" i="9"/>
  <c r="E8" i="9"/>
  <c r="A8" i="9"/>
  <c r="C7" i="9"/>
  <c r="E6" i="9"/>
  <c r="A6" i="9"/>
  <c r="C5" i="9"/>
  <c r="E4" i="9"/>
  <c r="A4" i="9"/>
  <c r="C3" i="9"/>
  <c r="D18" i="7"/>
  <c r="A17" i="7"/>
  <c r="B16" i="7"/>
  <c r="D15" i="7"/>
  <c r="D14" i="7"/>
  <c r="A13" i="7"/>
  <c r="B12" i="7"/>
  <c r="C11" i="7"/>
  <c r="D10" i="7"/>
  <c r="A9" i="7"/>
  <c r="B8" i="7"/>
  <c r="C7" i="7"/>
  <c r="D6" i="7"/>
  <c r="A5" i="7"/>
  <c r="B4" i="7"/>
  <c r="C3" i="7"/>
  <c r="A39" i="6"/>
  <c r="B30" i="6"/>
  <c r="C36" i="6"/>
  <c r="D81" i="6"/>
  <c r="A82" i="6"/>
  <c r="B33" i="6"/>
  <c r="C80" i="6"/>
  <c r="D46" i="6"/>
  <c r="A10" i="6"/>
  <c r="B79" i="6"/>
  <c r="C78" i="6"/>
  <c r="D19" i="6"/>
  <c r="A14" i="6"/>
  <c r="B77" i="6"/>
  <c r="C11" i="6"/>
  <c r="D76" i="6"/>
  <c r="A75" i="6"/>
  <c r="B48" i="6"/>
  <c r="C74" i="6"/>
  <c r="D26" i="6"/>
  <c r="A45" i="6"/>
  <c r="B41" i="6"/>
  <c r="C20" i="6"/>
  <c r="D73" i="6"/>
  <c r="A23" i="6"/>
  <c r="B16" i="6"/>
  <c r="C72" i="6"/>
  <c r="D50" i="6"/>
  <c r="A71" i="6"/>
  <c r="B12" i="6"/>
  <c r="C70" i="6"/>
  <c r="D37" i="6"/>
  <c r="A43" i="6"/>
  <c r="B69" i="6"/>
  <c r="C7" i="6"/>
  <c r="D68" i="6"/>
  <c r="A18" i="6"/>
  <c r="B67" i="6"/>
  <c r="C27" i="6"/>
  <c r="D29" i="6"/>
  <c r="A66" i="6"/>
  <c r="B31" i="6"/>
  <c r="C65" i="6"/>
  <c r="D64" i="6"/>
  <c r="A63" i="6"/>
  <c r="B62" i="6"/>
  <c r="C22" i="6"/>
  <c r="D13" i="6"/>
  <c r="A61" i="6"/>
  <c r="B60" i="6"/>
  <c r="C59" i="6"/>
  <c r="D9" i="6"/>
  <c r="A34" i="6"/>
  <c r="B25" i="6"/>
  <c r="C58" i="6"/>
  <c r="D57" i="6"/>
  <c r="A17" i="6"/>
  <c r="B56" i="6"/>
  <c r="C38" i="6"/>
  <c r="D55" i="6"/>
  <c r="A54" i="6"/>
  <c r="B40" i="6"/>
  <c r="C53" i="6"/>
  <c r="D47" i="6"/>
  <c r="A52" i="6"/>
  <c r="B3" i="6"/>
  <c r="C42" i="6"/>
  <c r="D21" i="6"/>
  <c r="A8" i="6"/>
  <c r="B6" i="6"/>
  <c r="C32" i="6"/>
  <c r="D5" i="6"/>
  <c r="A4" i="6"/>
  <c r="B49" i="6"/>
  <c r="C35" i="6"/>
  <c r="D15" i="6"/>
  <c r="A51" i="6"/>
  <c r="B44" i="6"/>
  <c r="C24" i="6"/>
  <c r="D28" i="6"/>
  <c r="D39" i="5"/>
  <c r="A38" i="5"/>
  <c r="B37" i="5"/>
  <c r="C36" i="5"/>
  <c r="D35" i="5"/>
  <c r="A34" i="5"/>
  <c r="B33" i="5"/>
  <c r="C32" i="5"/>
  <c r="D31" i="5"/>
  <c r="A30" i="5"/>
  <c r="B29" i="5"/>
  <c r="C28" i="5"/>
  <c r="D27" i="5"/>
  <c r="A26" i="5"/>
  <c r="B25" i="5"/>
  <c r="C24" i="5"/>
  <c r="D23" i="5"/>
  <c r="A22" i="5"/>
  <c r="B21" i="5"/>
  <c r="C15" i="7"/>
  <c r="C14" i="7"/>
  <c r="B11" i="7"/>
  <c r="A8" i="7"/>
  <c r="D39" i="6"/>
  <c r="C81" i="6"/>
  <c r="B80" i="6"/>
  <c r="A79" i="6"/>
  <c r="D75" i="6"/>
  <c r="C26" i="6"/>
  <c r="A41" i="6"/>
  <c r="C73" i="6"/>
  <c r="B72" i="6"/>
  <c r="D71" i="6"/>
  <c r="A12" i="6"/>
  <c r="C37" i="6"/>
  <c r="B7" i="6"/>
  <c r="D18" i="6"/>
  <c r="A67" i="6"/>
  <c r="C29" i="6"/>
  <c r="B65" i="6"/>
  <c r="D63" i="6"/>
  <c r="A62" i="6"/>
  <c r="C13" i="6"/>
  <c r="B59" i="6"/>
  <c r="D34" i="6"/>
  <c r="A25" i="6"/>
  <c r="C57" i="6"/>
  <c r="B38" i="6"/>
  <c r="D54" i="6"/>
  <c r="A40" i="6"/>
  <c r="C47" i="6"/>
  <c r="B42" i="6"/>
  <c r="D8" i="6"/>
  <c r="A6" i="6"/>
  <c r="C5" i="6"/>
  <c r="B35" i="6"/>
  <c r="D51" i="6"/>
  <c r="A44" i="6"/>
  <c r="C28" i="6"/>
  <c r="C37" i="5"/>
  <c r="B36" i="5"/>
  <c r="B35" i="5"/>
  <c r="C34" i="5"/>
  <c r="C33" i="5"/>
  <c r="B32" i="5"/>
  <c r="B31" i="5"/>
  <c r="C30" i="5"/>
  <c r="C29" i="5"/>
  <c r="B28" i="5"/>
  <c r="B27" i="5"/>
  <c r="C26" i="5"/>
  <c r="C25" i="5"/>
  <c r="B24" i="5"/>
  <c r="B23" i="5"/>
  <c r="C22" i="5"/>
  <c r="C21" i="5"/>
  <c r="C20" i="5"/>
  <c r="D19" i="5"/>
  <c r="A18" i="5"/>
  <c r="B17" i="5"/>
  <c r="C16" i="5"/>
  <c r="D15" i="5"/>
  <c r="A14" i="5"/>
  <c r="B13" i="5"/>
  <c r="C12" i="5"/>
  <c r="D11" i="5"/>
  <c r="A10" i="5"/>
  <c r="B9" i="5"/>
  <c r="C8" i="5"/>
  <c r="D7" i="5"/>
  <c r="A6" i="5"/>
  <c r="B5" i="5"/>
  <c r="C4" i="5"/>
  <c r="D3" i="5"/>
  <c r="A53" i="2"/>
  <c r="B52" i="2"/>
  <c r="C51" i="2"/>
  <c r="D50" i="2"/>
  <c r="A49" i="2"/>
  <c r="B48" i="2"/>
  <c r="C47" i="2"/>
  <c r="D46" i="2"/>
  <c r="A45" i="2"/>
  <c r="B44" i="2"/>
  <c r="C43" i="2"/>
  <c r="D42" i="2"/>
  <c r="A41" i="2"/>
  <c r="B40" i="2"/>
  <c r="C39" i="2"/>
  <c r="D38" i="2"/>
  <c r="A37" i="2"/>
  <c r="B36" i="2"/>
  <c r="C35" i="2"/>
  <c r="D34" i="2"/>
  <c r="A33" i="2"/>
  <c r="B32" i="2"/>
  <c r="C31" i="2"/>
  <c r="D30" i="2"/>
  <c r="A29" i="2"/>
  <c r="B28" i="2"/>
  <c r="C27" i="2"/>
  <c r="D26" i="2"/>
  <c r="A25" i="2"/>
  <c r="B24" i="2"/>
  <c r="C23" i="2"/>
  <c r="D22" i="2"/>
  <c r="A21" i="2"/>
  <c r="B20" i="2"/>
  <c r="C19" i="2"/>
  <c r="D18" i="2"/>
  <c r="A17" i="2"/>
  <c r="B16" i="2"/>
  <c r="C15" i="2"/>
  <c r="D14" i="2"/>
  <c r="A13" i="2"/>
  <c r="B12" i="2"/>
  <c r="C11" i="2"/>
  <c r="D10" i="2"/>
  <c r="A9" i="2"/>
  <c r="B8" i="2"/>
  <c r="C7" i="2"/>
  <c r="D6" i="2"/>
  <c r="A5" i="2"/>
  <c r="B4" i="2"/>
  <c r="C3" i="2"/>
  <c r="D8" i="1"/>
  <c r="A92" i="1"/>
  <c r="B11" i="1"/>
  <c r="C91" i="1"/>
  <c r="D90" i="1"/>
  <c r="A89" i="1"/>
  <c r="B88" i="1"/>
  <c r="C87" i="1"/>
  <c r="D10" i="1"/>
  <c r="A56" i="1"/>
  <c r="B86" i="1"/>
  <c r="C85" i="1"/>
  <c r="D48" i="1"/>
  <c r="A58" i="1"/>
  <c r="B38" i="1"/>
  <c r="C40" i="1"/>
  <c r="D84" i="1"/>
  <c r="A30" i="1"/>
  <c r="B83" i="1"/>
  <c r="C53" i="1"/>
  <c r="D32" i="1"/>
  <c r="A20" i="1"/>
  <c r="B63" i="1"/>
  <c r="C65" i="1"/>
  <c r="D67" i="1"/>
  <c r="A44" i="1"/>
  <c r="B12" i="1"/>
  <c r="C82" i="1"/>
  <c r="D81" i="1"/>
  <c r="A57" i="1"/>
  <c r="B80" i="1"/>
  <c r="C27" i="1"/>
  <c r="D29" i="1"/>
  <c r="A79" i="1"/>
  <c r="B41" i="1"/>
  <c r="C39" i="1"/>
  <c r="D47" i="1"/>
  <c r="A22" i="1"/>
  <c r="B33" i="1"/>
  <c r="C24" i="1"/>
  <c r="D66" i="1"/>
  <c r="A45" i="1"/>
  <c r="B46" i="1"/>
  <c r="C61" i="1"/>
  <c r="D36" i="1"/>
  <c r="A78" i="1"/>
  <c r="B49" i="1"/>
  <c r="C23" i="1"/>
  <c r="D16" i="1"/>
  <c r="A77" i="1"/>
  <c r="B76" i="1"/>
  <c r="C50" i="1"/>
  <c r="D3" i="1"/>
  <c r="A35" i="1"/>
  <c r="B15" i="1"/>
  <c r="C64" i="1"/>
  <c r="D18" i="1"/>
  <c r="A75" i="1"/>
  <c r="B17" i="1"/>
  <c r="C34" i="1"/>
  <c r="D54" i="1"/>
  <c r="A6" i="1"/>
  <c r="B7" i="1"/>
  <c r="C74" i="1"/>
  <c r="D60" i="1"/>
  <c r="A62" i="1"/>
  <c r="B19" i="1"/>
  <c r="C73" i="1"/>
  <c r="D31" i="1"/>
  <c r="A42" i="1"/>
  <c r="B28" i="1"/>
  <c r="C26" i="1"/>
  <c r="D43" i="1"/>
  <c r="A14" i="1"/>
  <c r="B37" i="1"/>
  <c r="C72" i="1"/>
  <c r="D9" i="1"/>
  <c r="A5" i="1"/>
  <c r="B71" i="1"/>
  <c r="C21" i="1"/>
  <c r="D13" i="1"/>
  <c r="A4" i="1"/>
  <c r="B59" i="1"/>
  <c r="C70" i="1"/>
  <c r="D69" i="1"/>
  <c r="A25" i="1"/>
  <c r="B68" i="1"/>
  <c r="C52" i="1"/>
  <c r="D55" i="1"/>
  <c r="A51" i="1"/>
  <c r="B23" i="6"/>
  <c r="D72" i="6"/>
  <c r="A50" i="6"/>
  <c r="B43" i="6"/>
  <c r="D7" i="6"/>
  <c r="C62" i="6"/>
  <c r="B61" i="6"/>
  <c r="D59" i="6"/>
  <c r="C25" i="6"/>
  <c r="A55" i="6"/>
  <c r="A21" i="6"/>
  <c r="B4" i="6"/>
  <c r="D35" i="6"/>
  <c r="C44" i="6"/>
  <c r="D34" i="5"/>
  <c r="D32" i="5"/>
  <c r="D30" i="5"/>
  <c r="D28" i="5"/>
  <c r="D26" i="5"/>
  <c r="D25" i="5"/>
  <c r="C23" i="5"/>
  <c r="D20" i="5"/>
  <c r="A19" i="5"/>
  <c r="B18" i="5"/>
  <c r="D16" i="5"/>
  <c r="A15" i="5"/>
  <c r="B14" i="5"/>
  <c r="D12" i="5"/>
  <c r="B10" i="5"/>
  <c r="D8" i="5"/>
  <c r="A7" i="5"/>
  <c r="C5" i="5"/>
  <c r="A3" i="5"/>
  <c r="C52" i="2"/>
  <c r="A16" i="7"/>
  <c r="D13" i="7"/>
  <c r="C10" i="7"/>
  <c r="B7" i="7"/>
  <c r="A4" i="7"/>
  <c r="D82" i="6"/>
  <c r="C46" i="6"/>
  <c r="B78" i="6"/>
  <c r="A77" i="6"/>
  <c r="D45" i="6"/>
  <c r="D20" i="6"/>
  <c r="A73" i="6"/>
  <c r="C16" i="6"/>
  <c r="B71" i="6"/>
  <c r="D70" i="6"/>
  <c r="A37" i="6"/>
  <c r="C69" i="6"/>
  <c r="B18" i="6"/>
  <c r="D27" i="6"/>
  <c r="A29" i="6"/>
  <c r="C31" i="6"/>
  <c r="B63" i="6"/>
  <c r="D22" i="6"/>
  <c r="A13" i="6"/>
  <c r="C60" i="6"/>
  <c r="B34" i="6"/>
  <c r="D58" i="6"/>
  <c r="A57" i="6"/>
  <c r="C56" i="6"/>
  <c r="B54" i="6"/>
  <c r="D53" i="6"/>
  <c r="A47" i="6"/>
  <c r="C3" i="6"/>
  <c r="B8" i="6"/>
  <c r="D32" i="6"/>
  <c r="A5" i="6"/>
  <c r="C49" i="6"/>
  <c r="B51" i="6"/>
  <c r="D24" i="6"/>
  <c r="A28" i="6"/>
  <c r="D38" i="5"/>
  <c r="A37" i="5"/>
  <c r="A36" i="5"/>
  <c r="A35" i="5"/>
  <c r="B34" i="5"/>
  <c r="A33" i="5"/>
  <c r="A32" i="5"/>
  <c r="A31" i="5"/>
  <c r="B30" i="5"/>
  <c r="A29" i="5"/>
  <c r="A28" i="5"/>
  <c r="A27" i="5"/>
  <c r="B26" i="5"/>
  <c r="A25" i="5"/>
  <c r="A24" i="5"/>
  <c r="A23" i="5"/>
  <c r="B22" i="5"/>
  <c r="A21" i="5"/>
  <c r="B20" i="5"/>
  <c r="C19" i="5"/>
  <c r="D18" i="5"/>
  <c r="A17" i="5"/>
  <c r="B16" i="5"/>
  <c r="C15" i="5"/>
  <c r="D14" i="5"/>
  <c r="A13" i="5"/>
  <c r="B12" i="5"/>
  <c r="C11" i="5"/>
  <c r="D10" i="5"/>
  <c r="A9" i="5"/>
  <c r="B8" i="5"/>
  <c r="C7" i="5"/>
  <c r="D6" i="5"/>
  <c r="A5" i="5"/>
  <c r="B4" i="5"/>
  <c r="C3" i="5"/>
  <c r="D53" i="2"/>
  <c r="A52" i="2"/>
  <c r="B51" i="2"/>
  <c r="C50" i="2"/>
  <c r="D49" i="2"/>
  <c r="A48" i="2"/>
  <c r="B47" i="2"/>
  <c r="C46" i="2"/>
  <c r="D45" i="2"/>
  <c r="A44" i="2"/>
  <c r="B43" i="2"/>
  <c r="C42" i="2"/>
  <c r="D41" i="2"/>
  <c r="A40" i="2"/>
  <c r="B39" i="2"/>
  <c r="C38" i="2"/>
  <c r="D37" i="2"/>
  <c r="A36" i="2"/>
  <c r="B35" i="2"/>
  <c r="C34" i="2"/>
  <c r="D33" i="2"/>
  <c r="A32" i="2"/>
  <c r="B31" i="2"/>
  <c r="C30" i="2"/>
  <c r="D29" i="2"/>
  <c r="A28" i="2"/>
  <c r="B27" i="2"/>
  <c r="C26" i="2"/>
  <c r="D25" i="2"/>
  <c r="A24" i="2"/>
  <c r="B23" i="2"/>
  <c r="C22" i="2"/>
  <c r="D21" i="2"/>
  <c r="A20" i="2"/>
  <c r="B19" i="2"/>
  <c r="C18" i="2"/>
  <c r="D17" i="2"/>
  <c r="A16" i="2"/>
  <c r="B15" i="2"/>
  <c r="C14" i="2"/>
  <c r="D13" i="2"/>
  <c r="A12" i="2"/>
  <c r="B11" i="2"/>
  <c r="C10" i="2"/>
  <c r="D9" i="2"/>
  <c r="A8" i="2"/>
  <c r="B7" i="2"/>
  <c r="C6" i="2"/>
  <c r="D5" i="2"/>
  <c r="A4" i="2"/>
  <c r="B3" i="2"/>
  <c r="C8" i="1"/>
  <c r="D92" i="1"/>
  <c r="A11" i="1"/>
  <c r="B91" i="1"/>
  <c r="C90" i="1"/>
  <c r="D89" i="1"/>
  <c r="A88" i="1"/>
  <c r="B87" i="1"/>
  <c r="C10" i="1"/>
  <c r="D56" i="1"/>
  <c r="A86" i="1"/>
  <c r="B85" i="1"/>
  <c r="C48" i="1"/>
  <c r="D58" i="1"/>
  <c r="A38" i="1"/>
  <c r="B40" i="1"/>
  <c r="C84" i="1"/>
  <c r="D30" i="1"/>
  <c r="A83" i="1"/>
  <c r="B53" i="1"/>
  <c r="C32" i="1"/>
  <c r="D20" i="1"/>
  <c r="A63" i="1"/>
  <c r="B65" i="1"/>
  <c r="C67" i="1"/>
  <c r="D44" i="1"/>
  <c r="A12" i="1"/>
  <c r="B82" i="1"/>
  <c r="C81" i="1"/>
  <c r="D57" i="1"/>
  <c r="A80" i="1"/>
  <c r="B27" i="1"/>
  <c r="C29" i="1"/>
  <c r="D79" i="1"/>
  <c r="A41" i="1"/>
  <c r="B39" i="1"/>
  <c r="C47" i="1"/>
  <c r="D22" i="1"/>
  <c r="A33" i="1"/>
  <c r="B24" i="1"/>
  <c r="C66" i="1"/>
  <c r="D45" i="1"/>
  <c r="A46" i="1"/>
  <c r="B61" i="1"/>
  <c r="C36" i="1"/>
  <c r="D78" i="1"/>
  <c r="A49" i="1"/>
  <c r="B23" i="1"/>
  <c r="C16" i="1"/>
  <c r="D77" i="1"/>
  <c r="A76" i="1"/>
  <c r="B50" i="1"/>
  <c r="C3" i="1"/>
  <c r="D35" i="1"/>
  <c r="A15" i="1"/>
  <c r="B64" i="1"/>
  <c r="C18" i="1"/>
  <c r="D75" i="1"/>
  <c r="A17" i="1"/>
  <c r="B34" i="1"/>
  <c r="C54" i="1"/>
  <c r="D6" i="1"/>
  <c r="A7" i="1"/>
  <c r="B74" i="1"/>
  <c r="C60" i="1"/>
  <c r="D62" i="1"/>
  <c r="A19" i="1"/>
  <c r="B73" i="1"/>
  <c r="C31" i="1"/>
  <c r="D42" i="1"/>
  <c r="A28" i="1"/>
  <c r="B26" i="1"/>
  <c r="C43" i="1"/>
  <c r="D14" i="1"/>
  <c r="A37" i="1"/>
  <c r="B72" i="1"/>
  <c r="C9" i="1"/>
  <c r="D5" i="1"/>
  <c r="A71" i="1"/>
  <c r="B21" i="1"/>
  <c r="C13" i="1"/>
  <c r="D4" i="1"/>
  <c r="A59" i="1"/>
  <c r="B70" i="1"/>
  <c r="C69" i="1"/>
  <c r="D25" i="1"/>
  <c r="A68" i="1"/>
  <c r="B52" i="1"/>
  <c r="C55" i="1"/>
  <c r="D51" i="1"/>
  <c r="C53" i="2"/>
  <c r="D52" i="2"/>
  <c r="B50" i="2"/>
  <c r="C49" i="2"/>
  <c r="D48" i="2"/>
  <c r="A47" i="2"/>
  <c r="B46" i="2"/>
  <c r="C45" i="2"/>
  <c r="B42" i="2"/>
  <c r="D40" i="2"/>
  <c r="A39" i="2"/>
  <c r="C37" i="2"/>
  <c r="B34" i="2"/>
  <c r="D32" i="2"/>
  <c r="B30" i="2"/>
  <c r="D28" i="2"/>
  <c r="B26" i="2"/>
  <c r="D24" i="2"/>
  <c r="A23" i="2"/>
  <c r="B22" i="2"/>
  <c r="C21" i="2"/>
  <c r="B18" i="2"/>
  <c r="D16" i="2"/>
  <c r="B14" i="2"/>
  <c r="D12" i="2"/>
  <c r="B10" i="2"/>
  <c r="C9" i="2"/>
  <c r="B6" i="2"/>
  <c r="D4" i="2"/>
  <c r="A3" i="2"/>
  <c r="B8" i="1"/>
  <c r="D11" i="1"/>
  <c r="B90" i="1"/>
  <c r="C89" i="1"/>
  <c r="B10" i="1"/>
  <c r="D86" i="1"/>
  <c r="B48" i="1"/>
  <c r="C58" i="1"/>
  <c r="B84" i="1"/>
  <c r="D83" i="1"/>
  <c r="A53" i="1"/>
  <c r="C20" i="1"/>
  <c r="D63" i="1"/>
  <c r="A65" i="1"/>
  <c r="B67" i="1"/>
  <c r="C44" i="1"/>
  <c r="D12" i="1"/>
  <c r="A82" i="1"/>
  <c r="B81" i="1"/>
  <c r="C57" i="1"/>
  <c r="D80" i="1"/>
  <c r="A27" i="1"/>
  <c r="B29" i="1"/>
  <c r="C79" i="1"/>
  <c r="D41" i="1"/>
  <c r="A39" i="1"/>
  <c r="B47" i="1"/>
  <c r="C22" i="1"/>
  <c r="B66" i="1"/>
  <c r="C45" i="1"/>
  <c r="A61" i="1"/>
  <c r="C78" i="1"/>
  <c r="D49" i="1"/>
  <c r="A23" i="1"/>
  <c r="B16" i="1"/>
  <c r="C77" i="1"/>
  <c r="A50" i="1"/>
  <c r="C35" i="1"/>
  <c r="B18" i="1"/>
  <c r="C75" i="1"/>
  <c r="B54" i="1"/>
  <c r="C6" i="1"/>
  <c r="B60" i="1"/>
  <c r="C62" i="1"/>
  <c r="B31" i="1"/>
  <c r="D28" i="1"/>
  <c r="B43" i="1"/>
  <c r="D37" i="1"/>
  <c r="B9" i="1"/>
  <c r="D71" i="1"/>
  <c r="B13" i="1"/>
  <c r="D59" i="1"/>
  <c r="A70" i="1"/>
  <c r="B69" i="1"/>
  <c r="C25" i="1"/>
  <c r="B55" i="1"/>
  <c r="D17" i="7"/>
  <c r="A12" i="7"/>
  <c r="D5" i="7"/>
  <c r="B36" i="6"/>
  <c r="A33" i="6"/>
  <c r="D14" i="6"/>
  <c r="C76" i="6"/>
  <c r="B74" i="6"/>
  <c r="C41" i="6"/>
  <c r="C12" i="6"/>
  <c r="A68" i="6"/>
  <c r="C67" i="6"/>
  <c r="B66" i="6"/>
  <c r="D65" i="6"/>
  <c r="A64" i="6"/>
  <c r="A9" i="6"/>
  <c r="B17" i="6"/>
  <c r="D38" i="6"/>
  <c r="C40" i="6"/>
  <c r="B52" i="6"/>
  <c r="D42" i="6"/>
  <c r="C6" i="6"/>
  <c r="A15" i="6"/>
  <c r="A39" i="5"/>
  <c r="D36" i="5"/>
  <c r="C35" i="5"/>
  <c r="D33" i="5"/>
  <c r="C31" i="5"/>
  <c r="D29" i="5"/>
  <c r="C27" i="5"/>
  <c r="D24" i="5"/>
  <c r="D22" i="5"/>
  <c r="D21" i="5"/>
  <c r="C17" i="5"/>
  <c r="C13" i="5"/>
  <c r="A11" i="5"/>
  <c r="C9" i="5"/>
  <c r="B6" i="5"/>
  <c r="D4" i="5"/>
  <c r="B53" i="2"/>
  <c r="D51" i="2"/>
  <c r="A50" i="2"/>
  <c r="C18" i="7"/>
  <c r="D9" i="7"/>
  <c r="C6" i="7"/>
  <c r="B3" i="7"/>
  <c r="A30" i="6"/>
  <c r="D10" i="6"/>
  <c r="C19" i="6"/>
  <c r="B11" i="6"/>
  <c r="A48" i="6"/>
  <c r="B20" i="6"/>
  <c r="D23" i="6"/>
  <c r="A16" i="6"/>
  <c r="C50" i="6"/>
  <c r="B70" i="6"/>
  <c r="D43" i="6"/>
  <c r="A69" i="6"/>
  <c r="C68" i="6"/>
  <c r="B27" i="6"/>
  <c r="D66" i="6"/>
  <c r="A31" i="6"/>
  <c r="C64" i="6"/>
  <c r="B22" i="6"/>
  <c r="D61" i="6"/>
  <c r="A60" i="6"/>
  <c r="C9" i="6"/>
  <c r="B58" i="6"/>
  <c r="D17" i="6"/>
  <c r="A56" i="6"/>
  <c r="C55" i="6"/>
  <c r="B53" i="6"/>
  <c r="D52" i="6"/>
  <c r="A3" i="6"/>
  <c r="C21" i="6"/>
  <c r="B32" i="6"/>
  <c r="D4" i="6"/>
  <c r="A49" i="6"/>
  <c r="C15" i="6"/>
  <c r="B24" i="6"/>
  <c r="C39" i="5"/>
  <c r="B38" i="5"/>
  <c r="A20" i="5"/>
  <c r="B19" i="5"/>
  <c r="C18" i="5"/>
  <c r="D17" i="5"/>
  <c r="A16" i="5"/>
  <c r="B15" i="5"/>
  <c r="C14" i="5"/>
  <c r="D13" i="5"/>
  <c r="A12" i="5"/>
  <c r="B11" i="5"/>
  <c r="C10" i="5"/>
  <c r="D9" i="5"/>
  <c r="A8" i="5"/>
  <c r="B7" i="5"/>
  <c r="C6" i="5"/>
  <c r="D5" i="5"/>
  <c r="A4" i="5"/>
  <c r="B3" i="5"/>
  <c r="A51" i="2"/>
  <c r="D44" i="2"/>
  <c r="A43" i="2"/>
  <c r="C41" i="2"/>
  <c r="B38" i="2"/>
  <c r="D36" i="2"/>
  <c r="A35" i="2"/>
  <c r="C33" i="2"/>
  <c r="A31" i="2"/>
  <c r="C29" i="2"/>
  <c r="A27" i="2"/>
  <c r="C25" i="2"/>
  <c r="D20" i="2"/>
  <c r="A19" i="2"/>
  <c r="C17" i="2"/>
  <c r="A15" i="2"/>
  <c r="C13" i="2"/>
  <c r="A11" i="2"/>
  <c r="D8" i="2"/>
  <c r="A7" i="2"/>
  <c r="C5" i="2"/>
  <c r="C92" i="1"/>
  <c r="A91" i="1"/>
  <c r="D88" i="1"/>
  <c r="A87" i="1"/>
  <c r="C56" i="1"/>
  <c r="A85" i="1"/>
  <c r="D38" i="1"/>
  <c r="A40" i="1"/>
  <c r="C30" i="1"/>
  <c r="B32" i="1"/>
  <c r="D33" i="1"/>
  <c r="A24" i="1"/>
  <c r="D46" i="1"/>
  <c r="B36" i="1"/>
  <c r="D76" i="1"/>
  <c r="B3" i="1"/>
  <c r="D15" i="1"/>
  <c r="A64" i="1"/>
  <c r="D17" i="1"/>
  <c r="A34" i="1"/>
  <c r="D7" i="1"/>
  <c r="A74" i="1"/>
  <c r="D19" i="1"/>
  <c r="A73" i="1"/>
  <c r="C42" i="1"/>
  <c r="A26" i="1"/>
  <c r="C14" i="1"/>
  <c r="A72" i="1"/>
  <c r="C5" i="1"/>
  <c r="A21" i="1"/>
  <c r="C4" i="1"/>
  <c r="D68" i="1"/>
  <c r="A52" i="1"/>
  <c r="C51" i="1"/>
  <c r="C48" i="2"/>
  <c r="A46" i="2"/>
  <c r="C44" i="2"/>
  <c r="A42" i="2"/>
  <c r="C40" i="2"/>
  <c r="A38" i="2"/>
  <c r="C36" i="2"/>
  <c r="A34" i="2"/>
  <c r="C32" i="2"/>
  <c r="A30" i="2"/>
  <c r="C28" i="2"/>
  <c r="A26" i="2"/>
  <c r="C24" i="2"/>
  <c r="A22" i="2"/>
  <c r="C20" i="2"/>
  <c r="A18" i="2"/>
  <c r="C16" i="2"/>
  <c r="A14" i="2"/>
  <c r="C12" i="2"/>
  <c r="A10" i="2"/>
  <c r="C8" i="2"/>
  <c r="A6" i="2"/>
  <c r="C4" i="2"/>
  <c r="A8" i="1"/>
  <c r="C11" i="1"/>
  <c r="A90" i="1"/>
  <c r="C88" i="1"/>
  <c r="A10" i="1"/>
  <c r="C86" i="1"/>
  <c r="A48" i="1"/>
  <c r="C38" i="1"/>
  <c r="A84" i="1"/>
  <c r="C83" i="1"/>
  <c r="A32" i="1"/>
  <c r="C63" i="1"/>
  <c r="A67" i="1"/>
  <c r="C12" i="1"/>
  <c r="A81" i="1"/>
  <c r="C80" i="1"/>
  <c r="A29" i="1"/>
  <c r="C41" i="1"/>
  <c r="A47" i="1"/>
  <c r="C33" i="1"/>
  <c r="A66" i="1"/>
  <c r="C46" i="1"/>
  <c r="A36" i="1"/>
  <c r="C49" i="1"/>
  <c r="A16" i="1"/>
  <c r="C76" i="1"/>
  <c r="A3" i="1"/>
  <c r="C15" i="1"/>
  <c r="A18" i="1"/>
  <c r="C17" i="1"/>
  <c r="A54" i="1"/>
  <c r="C7" i="1"/>
  <c r="A60" i="1"/>
  <c r="C19" i="1"/>
  <c r="A31" i="1"/>
  <c r="C28" i="1"/>
  <c r="A43" i="1"/>
  <c r="C37" i="1"/>
  <c r="A9" i="1"/>
  <c r="C71" i="1"/>
  <c r="A13" i="1"/>
  <c r="C59" i="1"/>
  <c r="A69" i="1"/>
  <c r="C68" i="1"/>
  <c r="A55" i="1"/>
  <c r="D53" i="1"/>
  <c r="B20" i="1"/>
  <c r="D65" i="1"/>
  <c r="B44" i="1"/>
  <c r="D82" i="1"/>
  <c r="B57" i="1"/>
  <c r="D27" i="1"/>
  <c r="B79" i="1"/>
  <c r="D39" i="1"/>
  <c r="B22" i="1"/>
  <c r="D24" i="1"/>
  <c r="B45" i="1"/>
  <c r="D61" i="1"/>
  <c r="B78" i="1"/>
  <c r="D23" i="1"/>
  <c r="B77" i="1"/>
  <c r="D50" i="1"/>
  <c r="B35" i="1"/>
  <c r="D64" i="1"/>
  <c r="B75" i="1"/>
  <c r="D34" i="1"/>
  <c r="B6" i="1"/>
  <c r="D74" i="1"/>
  <c r="B62" i="1"/>
  <c r="D73" i="1"/>
  <c r="B42" i="1"/>
  <c r="D26" i="1"/>
  <c r="B14" i="1"/>
  <c r="D72" i="1"/>
  <c r="B5" i="1"/>
  <c r="D21" i="1"/>
  <c r="B4" i="1"/>
  <c r="D70" i="1"/>
  <c r="B25" i="1"/>
  <c r="D52" i="1"/>
  <c r="B51" i="1"/>
  <c r="B49" i="2"/>
  <c r="D47" i="2"/>
  <c r="B45" i="2"/>
  <c r="D43" i="2"/>
  <c r="B41" i="2"/>
  <c r="D39" i="2"/>
  <c r="B37" i="2"/>
  <c r="D35" i="2"/>
  <c r="B33" i="2"/>
  <c r="D31" i="2"/>
  <c r="B29" i="2"/>
  <c r="D27" i="2"/>
  <c r="B25" i="2"/>
  <c r="D23" i="2"/>
  <c r="B21" i="2"/>
  <c r="D19" i="2"/>
  <c r="B17" i="2"/>
  <c r="D15" i="2"/>
  <c r="B13" i="2"/>
  <c r="D11" i="2"/>
  <c r="B9" i="2"/>
  <c r="D7" i="2"/>
  <c r="B5" i="2"/>
  <c r="D3" i="2"/>
  <c r="B92" i="1"/>
  <c r="D91" i="1"/>
  <c r="B89" i="1"/>
  <c r="D87" i="1"/>
  <c r="B56" i="1"/>
  <c r="D85" i="1"/>
  <c r="B58" i="1"/>
  <c r="D40" i="1"/>
  <c r="B30" i="1"/>
  <c r="E81" i="6" l="1"/>
  <c r="E39" i="6"/>
  <c r="E21" i="6"/>
  <c r="E3" i="6"/>
  <c r="E54" i="6"/>
  <c r="E38" i="6"/>
  <c r="E13" i="6"/>
  <c r="E68" i="6"/>
  <c r="E69" i="6"/>
  <c r="E71" i="6"/>
  <c r="E72" i="6"/>
  <c r="E76" i="6"/>
  <c r="E78" i="6"/>
  <c r="E50" i="6"/>
  <c r="E16" i="6"/>
  <c r="E19" i="6"/>
  <c r="E80" i="6"/>
  <c r="E5" i="6"/>
  <c r="E55" i="6"/>
  <c r="E56" i="6"/>
  <c r="E34" i="6"/>
  <c r="E59" i="6"/>
  <c r="E22" i="6"/>
  <c r="E29" i="6"/>
  <c r="E51" i="6"/>
  <c r="E35" i="6"/>
  <c r="E47" i="6"/>
  <c r="E9" i="6"/>
  <c r="E60" i="6"/>
  <c r="E63" i="6"/>
  <c r="E65" i="6"/>
  <c r="E37" i="6"/>
  <c r="E74" i="6"/>
  <c r="E46" i="6"/>
  <c r="O36" i="4"/>
  <c r="K34" i="4"/>
  <c r="D31" i="4"/>
  <c r="K30" i="4"/>
  <c r="D30" i="4"/>
  <c r="K29" i="4"/>
  <c r="D29" i="4"/>
  <c r="D28" i="4"/>
  <c r="D27" i="4"/>
  <c r="K26" i="4"/>
  <c r="D26" i="4"/>
  <c r="K25" i="4"/>
  <c r="D25" i="4"/>
  <c r="D24" i="4"/>
  <c r="B20" i="3"/>
  <c r="C19" i="3"/>
  <c r="B16" i="3"/>
  <c r="C15" i="3"/>
  <c r="B9" i="3"/>
  <c r="C8" i="3"/>
  <c r="B5" i="3"/>
  <c r="C4" i="3"/>
  <c r="C9" i="4"/>
  <c r="G8" i="4" s="1"/>
  <c r="C5" i="4"/>
  <c r="G5" i="4" s="1"/>
  <c r="B21" i="3"/>
  <c r="C20" i="3"/>
  <c r="D19" i="3"/>
  <c r="D15" i="3"/>
  <c r="D8" i="3"/>
  <c r="C31" i="4"/>
  <c r="G25" i="4" s="1"/>
  <c r="C30" i="4"/>
  <c r="G29" i="4" s="1"/>
  <c r="C29" i="4"/>
  <c r="G31" i="4" s="1"/>
  <c r="C28" i="4"/>
  <c r="G27" i="4" s="1"/>
  <c r="C27" i="4"/>
  <c r="G26" i="4" s="1"/>
  <c r="C26" i="4"/>
  <c r="G30" i="4" s="1"/>
  <c r="C25" i="4"/>
  <c r="G28" i="4" s="1"/>
  <c r="C24" i="4"/>
  <c r="G24" i="4" s="1"/>
  <c r="D9" i="4"/>
  <c r="D7" i="4"/>
  <c r="D5" i="4"/>
  <c r="D16" i="3"/>
  <c r="D5" i="3"/>
  <c r="C12" i="4"/>
  <c r="G6" i="4" s="1"/>
  <c r="C11" i="4"/>
  <c r="G10" i="4" s="1"/>
  <c r="C10" i="4"/>
  <c r="G12" i="4" s="1"/>
  <c r="C8" i="4"/>
  <c r="G7" i="4" s="1"/>
  <c r="C7" i="4"/>
  <c r="G11" i="4" s="1"/>
  <c r="C6" i="4"/>
  <c r="G9" i="4" s="1"/>
  <c r="B17" i="3"/>
  <c r="C16" i="3"/>
  <c r="B10" i="3"/>
  <c r="C9" i="3"/>
  <c r="B6" i="3"/>
  <c r="C5" i="3"/>
  <c r="D4" i="3"/>
  <c r="D12" i="4"/>
  <c r="D11" i="4"/>
  <c r="D10" i="4"/>
  <c r="D8" i="4"/>
  <c r="D6" i="4"/>
  <c r="D20" i="3"/>
  <c r="D9" i="3"/>
  <c r="B4" i="3"/>
  <c r="D14" i="3"/>
  <c r="E21" i="3"/>
  <c r="O7" i="4"/>
  <c r="J10" i="3"/>
  <c r="F16" i="4"/>
  <c r="G16" i="4" s="1"/>
  <c r="J9" i="3"/>
  <c r="J8" i="3"/>
  <c r="J7" i="3"/>
  <c r="E6" i="3"/>
  <c r="B8" i="3"/>
  <c r="E17" i="3"/>
  <c r="B19" i="3"/>
  <c r="E20" i="3"/>
  <c r="D3" i="3"/>
  <c r="E5" i="3"/>
  <c r="E10" i="3"/>
  <c r="B15" i="3"/>
  <c r="E16" i="3"/>
  <c r="O10" i="4"/>
  <c r="I3" i="3"/>
  <c r="N17" i="4"/>
  <c r="O17" i="4" s="1"/>
  <c r="I4" i="3"/>
  <c r="I6" i="3"/>
  <c r="I5" i="3"/>
  <c r="D7" i="3"/>
  <c r="E9" i="3"/>
  <c r="D18" i="3"/>
  <c r="G35" i="4"/>
  <c r="E4" i="3"/>
  <c r="E15" i="3"/>
  <c r="C21" i="3"/>
  <c r="K6" i="4"/>
  <c r="K11" i="4"/>
  <c r="O25" i="4"/>
  <c r="O26" i="4"/>
  <c r="O29" i="4"/>
  <c r="O30" i="4"/>
  <c r="E14" i="6"/>
  <c r="E85" i="6"/>
  <c r="E101" i="6"/>
  <c r="E5" i="7"/>
  <c r="E17" i="7"/>
  <c r="E7" i="3"/>
  <c r="E14" i="3"/>
  <c r="E18" i="3"/>
  <c r="B3" i="3"/>
  <c r="C6" i="3"/>
  <c r="H6" i="3"/>
  <c r="B7" i="3"/>
  <c r="E8" i="3"/>
  <c r="C10" i="3"/>
  <c r="H10" i="3"/>
  <c r="B14" i="3"/>
  <c r="J15" i="3"/>
  <c r="I16" i="3"/>
  <c r="C17" i="3"/>
  <c r="H17" i="3"/>
  <c r="B18" i="3"/>
  <c r="E19" i="3"/>
  <c r="J19" i="3"/>
  <c r="I20" i="3"/>
  <c r="H21" i="3"/>
  <c r="K7" i="4"/>
  <c r="K10" i="4"/>
  <c r="C3" i="3"/>
  <c r="H3" i="3"/>
  <c r="D6" i="3"/>
  <c r="C7" i="3"/>
  <c r="H7" i="3"/>
  <c r="D10" i="3"/>
  <c r="C14" i="3"/>
  <c r="H14" i="3"/>
  <c r="J16" i="3"/>
  <c r="D17" i="3"/>
  <c r="I17" i="3"/>
  <c r="C18" i="3"/>
  <c r="H18" i="3"/>
  <c r="J20" i="3"/>
  <c r="D21" i="3"/>
  <c r="I21" i="3"/>
  <c r="N6" i="4"/>
  <c r="N11" i="4"/>
  <c r="E4" i="6"/>
  <c r="E52" i="6"/>
  <c r="E17" i="6"/>
  <c r="E61" i="6"/>
  <c r="E66" i="6"/>
  <c r="E43" i="6"/>
  <c r="E23" i="6"/>
  <c r="E10" i="6"/>
  <c r="E89" i="6"/>
  <c r="E9" i="7"/>
  <c r="E33" i="7"/>
  <c r="E49" i="7"/>
  <c r="E65" i="7"/>
  <c r="E81" i="7"/>
  <c r="E97" i="7"/>
  <c r="E3" i="3"/>
  <c r="J14" i="3"/>
  <c r="J18" i="3"/>
  <c r="E24" i="6"/>
  <c r="E32" i="6"/>
  <c r="E53" i="6"/>
  <c r="E58" i="6"/>
  <c r="E27" i="6"/>
  <c r="E70" i="6"/>
  <c r="E20" i="6"/>
  <c r="E45" i="6"/>
  <c r="E21" i="7"/>
  <c r="E53" i="7"/>
  <c r="E85" i="7"/>
  <c r="L4" i="10"/>
  <c r="L5" i="10"/>
  <c r="S84" i="6" l="1"/>
  <c r="D2" i="10"/>
  <c r="A1" i="10"/>
  <c r="O11" i="4"/>
  <c r="I7" i="3"/>
  <c r="I8" i="3"/>
  <c r="I10" i="3"/>
  <c r="I9" i="3"/>
  <c r="O6" i="4"/>
  <c r="J6" i="3"/>
  <c r="J3" i="3"/>
  <c r="J5" i="3"/>
  <c r="J15" i="4"/>
  <c r="K15" i="4" s="1"/>
  <c r="J4" i="3"/>
</calcChain>
</file>

<file path=xl/comments1.xml><?xml version="1.0" encoding="utf-8"?>
<comments xmlns="http://schemas.openxmlformats.org/spreadsheetml/2006/main">
  <authors>
    <author/>
  </authors>
  <commentList>
    <comment ref="L1" authorId="0">
      <text>
        <r>
          <rPr>
            <sz val="10"/>
            <color rgb="FF000000"/>
            <rFont val="Arial"/>
          </rPr>
          <t>Od 11:00 se automaticky začne přehazovat mezi všemi 4 disciplínami po 1 minutě. Před 11:00 tu visí pouze čára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L1" authorId="0">
      <text>
        <r>
          <rPr>
            <sz val="10"/>
            <color rgb="FF000000"/>
            <rFont val="Arial"/>
          </rPr>
          <t>Od 11:00 se automaticky začne přehazovat mezi všemi 4 disciplínami po 1 minutě. Před 11:00 tu visí pouze čára</t>
        </r>
      </text>
    </comment>
    <comment ref="L3" authorId="0">
      <text>
        <r>
          <rPr>
            <sz val="10"/>
            <color rgb="FF000000"/>
            <rFont val="Arial"/>
          </rPr>
          <t>Prehazovani dvou</t>
        </r>
      </text>
    </comment>
    <comment ref="L4" authorId="0">
      <text>
        <r>
          <rPr>
            <sz val="10"/>
            <color rgb="FF000000"/>
            <rFont val="Arial"/>
          </rPr>
          <t xml:space="preserve">Prehazovani 4
</t>
        </r>
      </text>
    </comment>
    <comment ref="L5" authorId="0">
      <text>
        <r>
          <rPr>
            <sz val="10"/>
            <color rgb="FF000000"/>
            <rFont val="Arial"/>
          </rPr>
          <t>Prehazovani 5</t>
        </r>
      </text>
    </comment>
  </commentList>
</comments>
</file>

<file path=xl/sharedStrings.xml><?xml version="1.0" encoding="utf-8"?>
<sst xmlns="http://schemas.openxmlformats.org/spreadsheetml/2006/main" count="1805" uniqueCount="281">
  <si>
    <t>DÁLKOVÝ MEDVĚD</t>
  </si>
  <si>
    <t>ČÁRA</t>
  </si>
  <si>
    <t>DÁLKOVÝ MEDVĚD - Finále ZŠ</t>
  </si>
  <si>
    <t>Jízda č.</t>
  </si>
  <si>
    <t>Jízda</t>
  </si>
  <si>
    <t>číslo týmu</t>
  </si>
  <si>
    <t>Název týmu</t>
  </si>
  <si>
    <t>Škola</t>
  </si>
  <si>
    <t>kategorie</t>
  </si>
  <si>
    <t>Nejlepší čas</t>
  </si>
  <si>
    <t>Nejlepší čas kvalifikace</t>
  </si>
  <si>
    <t>Kvalifikace umístění</t>
  </si>
  <si>
    <t>rychlost jízdy</t>
  </si>
  <si>
    <t>Číslo týmu</t>
  </si>
  <si>
    <t>Čtvrt-</t>
  </si>
  <si>
    <t>Semi-</t>
  </si>
  <si>
    <t>O bronz</t>
  </si>
  <si>
    <t>Finále</t>
  </si>
  <si>
    <t>1.</t>
  </si>
  <si>
    <t>3.</t>
  </si>
  <si>
    <t>4.</t>
  </si>
  <si>
    <t>5.</t>
  </si>
  <si>
    <t>0:0;24,19</t>
  </si>
  <si>
    <t>0:57,93</t>
  </si>
  <si>
    <t>DÁLKOVÝ MEDVĚD - Finále SŠ</t>
  </si>
  <si>
    <t>1:57,01</t>
  </si>
  <si>
    <t>DÁLKOVÝ MEDVĚD - Finále</t>
  </si>
  <si>
    <t>Kvalifikace</t>
  </si>
  <si>
    <t>Čtvrfinále</t>
  </si>
  <si>
    <t>Semifinále</t>
  </si>
  <si>
    <t>Pořadí</t>
  </si>
  <si>
    <t>Číslo</t>
  </si>
  <si>
    <t>Tým</t>
  </si>
  <si>
    <t>čas</t>
  </si>
  <si>
    <t>AUTONOMNÍ MEDVĚD</t>
  </si>
  <si>
    <t>Finální umístění</t>
  </si>
  <si>
    <t>Finální umístění SŠ</t>
  </si>
  <si>
    <t>SPRINT - LEGO</t>
  </si>
  <si>
    <t>SPRINT - NeLEGO</t>
  </si>
  <si>
    <t>cas</t>
  </si>
  <si>
    <t>P</t>
  </si>
  <si>
    <t>Penalizace</t>
  </si>
  <si>
    <t>sec per day</t>
  </si>
  <si>
    <t>DNF</t>
  </si>
  <si>
    <t>-</t>
  </si>
  <si>
    <t>Jednotlivé jízdy / Single runs</t>
  </si>
  <si>
    <t>pro začátek prohazování manuálně změň na =now()</t>
  </si>
  <si>
    <t>Průběžné Pořadí</t>
  </si>
  <si>
    <t>dnf</t>
  </si>
  <si>
    <t>kat.</t>
  </si>
  <si>
    <t>2.</t>
  </si>
  <si>
    <t>Suda - cara
Licha - Medved</t>
  </si>
  <si>
    <t>Speedgasm</t>
  </si>
  <si>
    <t>Club of Robot Masters Szombathely</t>
  </si>
  <si>
    <t>SŠ (15-19 years)</t>
  </si>
  <si>
    <t/>
  </si>
  <si>
    <t>Sprint</t>
  </si>
  <si>
    <t>0,4,8,...</t>
  </si>
  <si>
    <t>Čára</t>
  </si>
  <si>
    <t>ERA</t>
  </si>
  <si>
    <t>Klub sportovní robotiky "RoboMaker" Bilohorodka (UA)</t>
  </si>
  <si>
    <t>ZŠ</t>
  </si>
  <si>
    <t>1,5,9...</t>
  </si>
  <si>
    <t>DM</t>
  </si>
  <si>
    <t>RoboMaker.com.UA</t>
  </si>
  <si>
    <t>Klub sportovní robotiky "RoboMaker" Kyjev (UA)</t>
  </si>
  <si>
    <t>2,6,10...</t>
  </si>
  <si>
    <t>AM</t>
  </si>
  <si>
    <t>Kiborgs</t>
  </si>
  <si>
    <t>Lucenkovo Čerkaské gymnázium №9 (UA)</t>
  </si>
  <si>
    <t>SŠ</t>
  </si>
  <si>
    <t>3,7,11...</t>
  </si>
  <si>
    <t>projekt Theodor</t>
  </si>
  <si>
    <t>SVČ Opava</t>
  </si>
  <si>
    <t>KiborgsUA</t>
  </si>
  <si>
    <t>9:35 - 11:00</t>
  </si>
  <si>
    <t>Pouze čára</t>
  </si>
  <si>
    <t>Programmers</t>
  </si>
  <si>
    <t>ZŠ Nové Zámky, Nábrežná 95,</t>
  </si>
  <si>
    <t>11:00 - 11:45</t>
  </si>
  <si>
    <t>Čára / AM</t>
  </si>
  <si>
    <t>Zeus</t>
  </si>
  <si>
    <t>Základná škola, Trieda SNP 20, Banská Bystrica</t>
  </si>
  <si>
    <t>12:00 - 13:00</t>
  </si>
  <si>
    <t>Čára / DM / Sprint</t>
  </si>
  <si>
    <t>M.O.K.O</t>
  </si>
  <si>
    <t>SPŠ Karviná</t>
  </si>
  <si>
    <t>13:00 - 13:45</t>
  </si>
  <si>
    <t>Čára / AM / Sprint</t>
  </si>
  <si>
    <t>Hradečtí baráčníci</t>
  </si>
  <si>
    <t>DDM Hradec Králové</t>
  </si>
  <si>
    <t>13:45 - 14:15</t>
  </si>
  <si>
    <t>Čára / DM Finále / Sprint</t>
  </si>
  <si>
    <t>Tým 4</t>
  </si>
  <si>
    <t>Jiráskovo gymnázium Náchod</t>
  </si>
  <si>
    <t>14:15 - 14:45</t>
  </si>
  <si>
    <t>Yeeters</t>
  </si>
  <si>
    <t>SPŠ Rakovník Emila Kolbena</t>
  </si>
  <si>
    <t>14:45 - 15:15</t>
  </si>
  <si>
    <t>Čára / Sprint finále</t>
  </si>
  <si>
    <t>Robo orange</t>
  </si>
  <si>
    <t>Gymnázium Brno, Vídeňská</t>
  </si>
  <si>
    <t>Combat Wombat</t>
  </si>
  <si>
    <t>Gymnázium Jakuba Škody</t>
  </si>
  <si>
    <t>B3</t>
  </si>
  <si>
    <t>Prehazovani dvou</t>
  </si>
  <si>
    <t>Elektronky z Vrchlabí</t>
  </si>
  <si>
    <t>ZŠ Školní Vrchlabí</t>
  </si>
  <si>
    <t>A1</t>
  </si>
  <si>
    <t>KAJmani</t>
  </si>
  <si>
    <t>Základní škola, Trutnov, R. Frimla 816</t>
  </si>
  <si>
    <t>Radovánek Plzeň</t>
  </si>
  <si>
    <t>SVČ RADOVÁNEK Plzeň</t>
  </si>
  <si>
    <t>Nápady na dodělání pro příště</t>
  </si>
  <si>
    <t>ZlyHoch Gang</t>
  </si>
  <si>
    <t>Gymnázium Lanškroun</t>
  </si>
  <si>
    <t>prehazovani rotaci v zavislosti na case automaticky</t>
  </si>
  <si>
    <t>KiborgsUA_JR</t>
  </si>
  <si>
    <t>automaticky hodit na DM_finale v dany cas</t>
  </si>
  <si>
    <t>Kiddům Team</t>
  </si>
  <si>
    <t>Kiddům - Centrum mladých objevitelů Praha</t>
  </si>
  <si>
    <t>navazat rotace na discipliny, nikoliv na cas</t>
  </si>
  <si>
    <t>Vybitý baterky</t>
  </si>
  <si>
    <t>Gymnázium Jakuba Škody, Přerov</t>
  </si>
  <si>
    <t>pocet rotaci automaticky</t>
  </si>
  <si>
    <t>Sirotci2</t>
  </si>
  <si>
    <t>ZŠ Sirotkova Brno</t>
  </si>
  <si>
    <t>kolonka "up next"</t>
  </si>
  <si>
    <t>SuperGo</t>
  </si>
  <si>
    <t>Katolícka spojená škola Banská Štiavnica</t>
  </si>
  <si>
    <t>postavit to na zaklade modulo 4...</t>
  </si>
  <si>
    <t>Černilováci</t>
  </si>
  <si>
    <t>Masarykova jubilejní ZŠ a MŠ Černilov</t>
  </si>
  <si>
    <t>F2</t>
  </si>
  <si>
    <t>The Benders - Amavet klub robotiky 958</t>
  </si>
  <si>
    <t>Sirotci</t>
  </si>
  <si>
    <t>Androidi</t>
  </si>
  <si>
    <t>ZŠ, Znojmo, Mládeže 3</t>
  </si>
  <si>
    <t>ATMrybnik</t>
  </si>
  <si>
    <t xml:space="preserve">Zespół Szkół Technicznych Rybnik </t>
  </si>
  <si>
    <t>TAJM</t>
  </si>
  <si>
    <t>ZŠ s MŠ Podolie</t>
  </si>
  <si>
    <t>Crystal Cat</t>
  </si>
  <si>
    <t>Bunlab Team V</t>
  </si>
  <si>
    <t>PSP Nasza Szkola</t>
  </si>
  <si>
    <t>ZŠ (6-15 years)</t>
  </si>
  <si>
    <t>Krasohled1</t>
  </si>
  <si>
    <t xml:space="preserve">ZŠ a DDM Krasohled Zábřeh </t>
  </si>
  <si>
    <t>(J)elita z GVID</t>
  </si>
  <si>
    <t>McGwoździe</t>
  </si>
  <si>
    <t>Čočkoboti</t>
  </si>
  <si>
    <t>Biskupské gymnázium Hradec Králové</t>
  </si>
  <si>
    <t>Forest gump</t>
  </si>
  <si>
    <t>SPŠ informačných technológií Kysucké Nové Mesto</t>
  </si>
  <si>
    <t>Kyberneťáci</t>
  </si>
  <si>
    <t>Kroužky kybernetiky VŠB Ostrava</t>
  </si>
  <si>
    <t>JP</t>
  </si>
  <si>
    <t>Gymnázium Zábřeh</t>
  </si>
  <si>
    <t>DarkTeam</t>
  </si>
  <si>
    <t>Junioři z Robotárny</t>
  </si>
  <si>
    <t>Robotárna DDM Helceletova Brno</t>
  </si>
  <si>
    <t>Oh'Reilly</t>
  </si>
  <si>
    <t>DDM Praha 6</t>
  </si>
  <si>
    <t xml:space="preserve">DDM  Hradec </t>
  </si>
  <si>
    <t>ZS</t>
  </si>
  <si>
    <t>BeneFuk</t>
  </si>
  <si>
    <t>Gymnázium a ZUŠ Šlapanice</t>
  </si>
  <si>
    <t>R.U.R. Gybot</t>
  </si>
  <si>
    <t>Gymnázium Praha, Botičská</t>
  </si>
  <si>
    <t>Holi Moli</t>
  </si>
  <si>
    <t>ZŠ Edvarda Beneše Lysice</t>
  </si>
  <si>
    <t>Eccentricity</t>
  </si>
  <si>
    <t>Škola č.35 Iževsk (RU)</t>
  </si>
  <si>
    <t>RoBookWorms</t>
  </si>
  <si>
    <t>Městská knihovna Česká Třebová</t>
  </si>
  <si>
    <t>NOX</t>
  </si>
  <si>
    <t>Gymnázium Matyáše Lercha Brno</t>
  </si>
  <si>
    <t>Robokrug</t>
  </si>
  <si>
    <t xml:space="preserve">DDM Ostrava Poruba </t>
  </si>
  <si>
    <t>Gymbos2</t>
  </si>
  <si>
    <t>Gymnázium Boskovice</t>
  </si>
  <si>
    <t>GLIGOR</t>
  </si>
  <si>
    <t>STEM-school Inventor Kyjev (UA)</t>
  </si>
  <si>
    <t>Gyzáci</t>
  </si>
  <si>
    <t>AZYG</t>
  </si>
  <si>
    <t>Johny boy</t>
  </si>
  <si>
    <t>Lišáci z Vrchlabí</t>
  </si>
  <si>
    <t>One man show</t>
  </si>
  <si>
    <t>SŠ průmyslová a umělecká Hodonín</t>
  </si>
  <si>
    <t>Krystofnutt</t>
  </si>
  <si>
    <t>Purkyňovo gymnázium Strážnice</t>
  </si>
  <si>
    <t>Tým1</t>
  </si>
  <si>
    <t>x</t>
  </si>
  <si>
    <t>Tým 2</t>
  </si>
  <si>
    <t>Tým 3</t>
  </si>
  <si>
    <t>Matěšpond</t>
  </si>
  <si>
    <t>Gymnázium Zlín - Lesní čtvrť</t>
  </si>
  <si>
    <t>Gymzláci</t>
  </si>
  <si>
    <t>Kriegsmarine</t>
  </si>
  <si>
    <t>Discindo Universio</t>
  </si>
  <si>
    <t>Gymniázium Zlín - Lesní čtvrť</t>
  </si>
  <si>
    <t>Hlucháci</t>
  </si>
  <si>
    <t>ZŠ Šumperk, 8. května</t>
  </si>
  <si>
    <t>PORG 2</t>
  </si>
  <si>
    <t>Gymnázium PORG Praha</t>
  </si>
  <si>
    <t>projekt Libjena</t>
  </si>
  <si>
    <t>konec</t>
  </si>
  <si>
    <t>ghnxšp</t>
  </si>
  <si>
    <t>CZŠ Veselí</t>
  </si>
  <si>
    <t>CZŠ Veselí nad Moravou</t>
  </si>
  <si>
    <t>Robokrug II</t>
  </si>
  <si>
    <t>DDM Ostrava - Poruba</t>
  </si>
  <si>
    <t>Crazy brick</t>
  </si>
  <si>
    <t>DDM Praha 4 - Hobby centrum 4</t>
  </si>
  <si>
    <t>GMCT major</t>
  </si>
  <si>
    <t>Gymnázium Josefa Božka Český Těšín</t>
  </si>
  <si>
    <t>Kaštani</t>
  </si>
  <si>
    <t>Matiční gymnázium, Ostrava</t>
  </si>
  <si>
    <t>_Půda Crew 2</t>
  </si>
  <si>
    <t>Městská knihovna Polička</t>
  </si>
  <si>
    <t>SOŠ-E Žilina</t>
  </si>
  <si>
    <t>SOŠ elektrotechnická Žilina</t>
  </si>
  <si>
    <t>Kulišáci</t>
  </si>
  <si>
    <t>SPŠ Prosek</t>
  </si>
  <si>
    <t>TÉKÁČKO</t>
  </si>
  <si>
    <t>Technologický klub Albrechtice n/Orlicí</t>
  </si>
  <si>
    <t>Voittaja</t>
  </si>
  <si>
    <t>Robokop</t>
  </si>
  <si>
    <t>ZŠ Hustopeče, Komenského</t>
  </si>
  <si>
    <t>Jd_byku</t>
  </si>
  <si>
    <t>LO Bieruń</t>
  </si>
  <si>
    <t>Los Brikulos</t>
  </si>
  <si>
    <t>Gymnázium Jiřího Ortena Kutná Hora</t>
  </si>
  <si>
    <t>FREESTYLE</t>
  </si>
  <si>
    <t>Název exponátu</t>
  </si>
  <si>
    <t>Kategorie</t>
  </si>
  <si>
    <t>Počet hlasů</t>
  </si>
  <si>
    <t>Další / Next:</t>
  </si>
  <si>
    <t>Sprint - LEGO</t>
  </si>
  <si>
    <t>Sprint - NeLEGO</t>
  </si>
  <si>
    <t>Bez problému</t>
  </si>
  <si>
    <t>Gymnázium Jihlava</t>
  </si>
  <si>
    <t>Gearshift</t>
  </si>
  <si>
    <t>VOŠ, SŠ, COP Sezimovo Ústí</t>
  </si>
  <si>
    <t>TurboSPS</t>
  </si>
  <si>
    <t>SPŠ technická Martin</t>
  </si>
  <si>
    <t>Krasohled2</t>
  </si>
  <si>
    <t>Partizáni</t>
  </si>
  <si>
    <t>Amavet klub č.808 Partizánske</t>
  </si>
  <si>
    <t>Bunlab Team XI</t>
  </si>
  <si>
    <t>PSP Polska Nowa Wieś</t>
  </si>
  <si>
    <t>TD</t>
  </si>
  <si>
    <t>Bunlab Team VIII</t>
  </si>
  <si>
    <t>LO Nr 1 Opole</t>
  </si>
  <si>
    <t>Bunlab Team I</t>
  </si>
  <si>
    <t>_Půda Crew 1</t>
  </si>
  <si>
    <t>Bunlab Team VI</t>
  </si>
  <si>
    <t>ZŠ Otevřeno 1</t>
  </si>
  <si>
    <t>ZŠ Otevřeno Benátky nad Jizerou</t>
  </si>
  <si>
    <t>Gymstr 4.O</t>
  </si>
  <si>
    <t>Gymnázium, Strakonice, Máchova 174</t>
  </si>
  <si>
    <t>DELTA</t>
  </si>
  <si>
    <t>SPŠ elektrotechnická Prešov</t>
  </si>
  <si>
    <t>FREESTYLE WeDo</t>
  </si>
  <si>
    <t>AdaBots</t>
  </si>
  <si>
    <t>rodinný tým</t>
  </si>
  <si>
    <t>Ještě ráno to fungovalo</t>
  </si>
  <si>
    <t>Tým 5</t>
  </si>
  <si>
    <t>Tým 6</t>
  </si>
  <si>
    <t>_Půda Crew 3</t>
  </si>
  <si>
    <t>Starhunters</t>
  </si>
  <si>
    <t>SPŠ, OA a JŠ Frýdek-Místek</t>
  </si>
  <si>
    <t>PVD Crew</t>
  </si>
  <si>
    <t>Wichterlovo gymnázium, Ostrava-Poruba</t>
  </si>
  <si>
    <t>Nerdíci z kvarty</t>
  </si>
  <si>
    <t>Bunlab Team II</t>
  </si>
  <si>
    <t>Bunlab Team III</t>
  </si>
  <si>
    <t>TAK im. Ireny Sendlerowej Opole</t>
  </si>
  <si>
    <t>Bunlab Team IV</t>
  </si>
  <si>
    <t>Bunlab Team VII</t>
  </si>
  <si>
    <t>#REF!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</si>
</sst>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&quot;:&quot;mm"/>
    <numFmt numFmtId="165" formatCode="m/d/yyyy\ h:mm:ss"/>
    <numFmt numFmtId="166" formatCode="mm:ss.0;@"/>
  </numFmts>
  <fonts count="18">
    <font>
      <sz val="10"/>
      <color rgb="FF000000"/>
      <name val="Arial"/>
    </font>
    <font>
      <b/>
      <sz val="10"/>
      <name val="Arial"/>
    </font>
    <font>
      <sz val="10"/>
      <name val="Arial"/>
    </font>
    <font>
      <b/>
      <sz val="11"/>
      <name val="Arial"/>
    </font>
    <font>
      <sz val="11"/>
      <name val="Arial"/>
    </font>
    <font>
      <sz val="10"/>
      <name val="Arial"/>
    </font>
    <font>
      <sz val="10"/>
      <color rgb="FF000000"/>
      <name val="Arial"/>
    </font>
    <font>
      <b/>
      <sz val="18"/>
      <name val="Arial"/>
    </font>
    <font>
      <sz val="11"/>
      <color rgb="FF000000"/>
      <name val="Inconsolata"/>
    </font>
    <font>
      <sz val="10"/>
      <name val="Arial"/>
    </font>
    <font>
      <sz val="10"/>
      <color rgb="FF000000"/>
      <name val="Arial"/>
    </font>
    <font>
      <b/>
      <sz val="10"/>
      <color rgb="FFFFFFFF"/>
      <name val="Arial"/>
    </font>
    <font>
      <sz val="11"/>
      <color rgb="FF000000"/>
      <name val="Arial"/>
    </font>
    <font>
      <b/>
      <sz val="14"/>
      <name val="Arial"/>
    </font>
    <font>
      <sz val="10"/>
      <color rgb="FF222222"/>
      <name val="Arial"/>
    </font>
    <font>
      <i/>
      <sz val="11"/>
      <color rgb="FF3C4043"/>
      <name val="Roboto"/>
    </font>
    <font>
      <strike/>
      <sz val="10"/>
      <name val="Arial"/>
    </font>
    <font>
      <u/>
      <sz val="10"/>
      <color rgb="FF0000FF"/>
      <name val="Arial"/>
    </font>
  </fonts>
  <fills count="1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FFFF00"/>
        <bgColor rgb="FFFFFF00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FFD966"/>
        <bgColor rgb="FFFFD966"/>
      </patternFill>
    </fill>
    <fill>
      <patternFill patternType="solid">
        <fgColor rgb="FFF6B26B"/>
        <bgColor rgb="FFF6B26B"/>
      </patternFill>
    </fill>
    <fill>
      <patternFill patternType="solid">
        <fgColor rgb="FFC9DAF8"/>
        <bgColor rgb="FFC9DAF8"/>
      </patternFill>
    </fill>
    <fill>
      <patternFill patternType="solid">
        <fgColor rgb="FFCFE2F3"/>
        <bgColor rgb="FFCFE2F3"/>
      </patternFill>
    </fill>
    <fill>
      <patternFill patternType="solid">
        <fgColor rgb="FFD9D2E9"/>
        <bgColor rgb="FFD9D2E9"/>
      </patternFill>
    </fill>
    <fill>
      <patternFill patternType="solid">
        <fgColor rgb="FFE6B8AF"/>
        <bgColor rgb="FFE6B8AF"/>
      </patternFill>
    </fill>
    <fill>
      <patternFill patternType="solid">
        <fgColor rgb="FFF9CB9C"/>
        <bgColor rgb="FFF9CB9C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/>
      <bottom/>
      <diagonal/>
    </border>
  </borders>
  <cellStyleXfs count="1">
    <xf numFmtId="0" fontId="0" fillId="0" borderId="0"/>
  </cellStyleXfs>
  <cellXfs count="223">
    <xf numFmtId="0" fontId="0" fillId="0" borderId="0" xfId="0" applyFont="1" applyAlignment="1"/>
    <xf numFmtId="0" fontId="2" fillId="0" borderId="2" xfId="0" applyFont="1" applyBorder="1"/>
    <xf numFmtId="0" fontId="1" fillId="2" borderId="0" xfId="0" applyFont="1" applyFill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2" fillId="0" borderId="0" xfId="0" applyFont="1" applyAlignment="1"/>
    <xf numFmtId="0" fontId="4" fillId="0" borderId="5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20" fontId="2" fillId="4" borderId="4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20" fontId="6" fillId="0" borderId="0" xfId="0" applyNumberFormat="1" applyFont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2" fillId="0" borderId="0" xfId="0" applyNumberFormat="1" applyFont="1" applyAlignment="1"/>
    <xf numFmtId="2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2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2" fillId="0" borderId="0" xfId="0" applyNumberFormat="1" applyFont="1"/>
    <xf numFmtId="0" fontId="2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/>
    <xf numFmtId="0" fontId="8" fillId="6" borderId="0" xfId="0" applyFont="1" applyFill="1"/>
    <xf numFmtId="0" fontId="2" fillId="7" borderId="8" xfId="0" applyFont="1" applyFill="1" applyBorder="1" applyAlignment="1"/>
    <xf numFmtId="0" fontId="2" fillId="7" borderId="9" xfId="0" applyFont="1" applyFill="1" applyBorder="1" applyAlignment="1"/>
    <xf numFmtId="0" fontId="2" fillId="8" borderId="10" xfId="0" applyNumberFormat="1" applyFont="1" applyFill="1" applyBorder="1" applyAlignment="1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7" borderId="1" xfId="0" applyFont="1" applyFill="1" applyBorder="1" applyAlignment="1"/>
    <xf numFmtId="0" fontId="2" fillId="7" borderId="2" xfId="0" applyFont="1" applyFill="1" applyBorder="1" applyAlignment="1"/>
    <xf numFmtId="0" fontId="2" fillId="8" borderId="3" xfId="0" applyNumberFormat="1" applyFont="1" applyFill="1" applyBorder="1" applyAlignment="1"/>
    <xf numFmtId="0" fontId="2" fillId="0" borderId="1" xfId="0" applyFont="1" applyBorder="1" applyAlignment="1"/>
    <xf numFmtId="0" fontId="2" fillId="0" borderId="2" xfId="0" applyFont="1" applyBorder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2" fillId="0" borderId="6" xfId="0" applyFont="1" applyBorder="1" applyAlignment="1"/>
    <xf numFmtId="0" fontId="2" fillId="8" borderId="12" xfId="0" applyNumberFormat="1" applyFont="1" applyFill="1" applyBorder="1" applyAlignment="1"/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2" fillId="7" borderId="6" xfId="0" applyFont="1" applyFill="1" applyBorder="1" applyAlignment="1"/>
    <xf numFmtId="0" fontId="10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2" fillId="7" borderId="0" xfId="0" applyFont="1" applyFill="1" applyAlignment="1"/>
    <xf numFmtId="0" fontId="9" fillId="0" borderId="0" xfId="0" applyNumberFormat="1" applyFont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 wrapText="1"/>
    </xf>
    <xf numFmtId="0" fontId="2" fillId="9" borderId="0" xfId="0" applyFont="1" applyFill="1"/>
    <xf numFmtId="0" fontId="2" fillId="9" borderId="0" xfId="0" applyFont="1" applyFill="1" applyAlignment="1"/>
    <xf numFmtId="0" fontId="2" fillId="9" borderId="13" xfId="0" applyFont="1" applyFill="1" applyBorder="1"/>
    <xf numFmtId="0" fontId="2" fillId="10" borderId="1" xfId="0" applyFont="1" applyFill="1" applyBorder="1" applyAlignment="1">
      <alignment horizontal="center"/>
    </xf>
    <xf numFmtId="21" fontId="9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9" borderId="14" xfId="0" applyFont="1" applyFill="1" applyBorder="1"/>
    <xf numFmtId="0" fontId="2" fillId="11" borderId="1" xfId="0" applyFont="1" applyFill="1" applyBorder="1" applyAlignment="1">
      <alignment horizontal="center"/>
    </xf>
    <xf numFmtId="0" fontId="2" fillId="8" borderId="0" xfId="0" applyFont="1" applyFill="1" applyAlignment="1"/>
    <xf numFmtId="0" fontId="2" fillId="8" borderId="3" xfId="0" applyNumberFormat="1" applyFont="1" applyFill="1" applyBorder="1" applyAlignment="1">
      <alignment horizontal="right"/>
    </xf>
    <xf numFmtId="0" fontId="2" fillId="11" borderId="1" xfId="0" applyFont="1" applyFill="1" applyBorder="1" applyAlignment="1">
      <alignment horizontal="center"/>
    </xf>
    <xf numFmtId="0" fontId="2" fillId="14" borderId="6" xfId="0" applyFont="1" applyFill="1" applyBorder="1" applyAlignment="1"/>
    <xf numFmtId="0" fontId="2" fillId="14" borderId="16" xfId="0" applyFont="1" applyFill="1" applyBorder="1" applyAlignment="1"/>
    <xf numFmtId="0" fontId="2" fillId="13" borderId="12" xfId="0" applyFont="1" applyFill="1" applyBorder="1" applyAlignment="1"/>
    <xf numFmtId="0" fontId="2" fillId="14" borderId="0" xfId="0" applyFont="1" applyFill="1" applyAlignment="1"/>
    <xf numFmtId="0" fontId="2" fillId="13" borderId="17" xfId="0" applyFont="1" applyFill="1" applyBorder="1" applyAlignment="1"/>
    <xf numFmtId="0" fontId="1" fillId="14" borderId="0" xfId="0" applyFont="1" applyFill="1" applyAlignment="1"/>
    <xf numFmtId="0" fontId="1" fillId="13" borderId="0" xfId="0" applyFont="1" applyFill="1" applyAlignment="1"/>
    <xf numFmtId="0" fontId="2" fillId="13" borderId="0" xfId="0" applyFont="1" applyFill="1" applyAlignment="1"/>
    <xf numFmtId="0" fontId="8" fillId="6" borderId="4" xfId="0" applyFont="1" applyFill="1" applyBorder="1" applyAlignment="1">
      <alignment horizontal="center"/>
    </xf>
    <xf numFmtId="0" fontId="1" fillId="0" borderId="13" xfId="0" applyFont="1" applyBorder="1" applyAlignment="1"/>
    <xf numFmtId="0" fontId="2" fillId="0" borderId="13" xfId="0" applyFont="1" applyBorder="1" applyAlignment="1"/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2" fillId="4" borderId="0" xfId="0" applyNumberFormat="1" applyFont="1" applyFill="1" applyAlignment="1">
      <alignment horizontal="center"/>
    </xf>
    <xf numFmtId="0" fontId="2" fillId="7" borderId="6" xfId="0" applyNumberFormat="1" applyFont="1" applyFill="1" applyBorder="1" applyAlignment="1"/>
    <xf numFmtId="0" fontId="2" fillId="7" borderId="0" xfId="0" applyNumberFormat="1" applyFont="1" applyFill="1" applyAlignment="1"/>
    <xf numFmtId="0" fontId="2" fillId="0" borderId="12" xfId="0" applyFont="1" applyBorder="1" applyAlignment="1"/>
    <xf numFmtId="0" fontId="2" fillId="0" borderId="16" xfId="0" applyFont="1" applyBorder="1" applyAlignment="1"/>
    <xf numFmtId="0" fontId="2" fillId="0" borderId="17" xfId="0" applyFont="1" applyBorder="1"/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164" fontId="2" fillId="0" borderId="0" xfId="0" applyNumberFormat="1" applyFont="1" applyAlignment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2" fillId="0" borderId="6" xfId="0" applyFont="1" applyBorder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4" borderId="0" xfId="0" applyNumberFormat="1" applyFont="1" applyFill="1" applyAlignment="1">
      <alignment horizontal="center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8" fillId="6" borderId="0" xfId="0" applyFont="1" applyFill="1"/>
    <xf numFmtId="20" fontId="2" fillId="4" borderId="0" xfId="0" applyNumberFormat="1" applyFont="1" applyFill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12" fillId="0" borderId="7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2" fillId="4" borderId="0" xfId="0" applyFont="1" applyFill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2" fillId="4" borderId="13" xfId="0" applyNumberFormat="1" applyFont="1" applyFill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9" xfId="0" applyFont="1" applyBorder="1"/>
    <xf numFmtId="0" fontId="1" fillId="0" borderId="0" xfId="0" applyFont="1" applyAlignment="1">
      <alignment horizontal="center"/>
    </xf>
    <xf numFmtId="0" fontId="5" fillId="0" borderId="5" xfId="0" applyFont="1" applyBorder="1" applyAlignment="1">
      <alignment wrapText="1"/>
    </xf>
    <xf numFmtId="0" fontId="2" fillId="16" borderId="4" xfId="0" applyFont="1" applyFill="1" applyBorder="1" applyAlignment="1"/>
    <xf numFmtId="0" fontId="2" fillId="4" borderId="4" xfId="0" applyFont="1" applyFill="1" applyBorder="1"/>
    <xf numFmtId="0" fontId="5" fillId="0" borderId="5" xfId="0" applyFont="1" applyBorder="1" applyAlignment="1">
      <alignment wrapText="1"/>
    </xf>
    <xf numFmtId="0" fontId="5" fillId="0" borderId="5" xfId="0" applyFont="1" applyBorder="1"/>
    <xf numFmtId="0" fontId="14" fillId="6" borderId="5" xfId="0" applyFont="1" applyFill="1" applyBorder="1" applyAlignment="1">
      <alignment wrapText="1"/>
    </xf>
    <xf numFmtId="0" fontId="5" fillId="0" borderId="5" xfId="0" applyFont="1" applyBorder="1"/>
    <xf numFmtId="165" fontId="15" fillId="6" borderId="0" xfId="0" applyNumberFormat="1" applyFont="1" applyFill="1" applyAlignment="1"/>
    <xf numFmtId="0" fontId="1" fillId="12" borderId="14" xfId="0" applyFont="1" applyFill="1" applyBorder="1" applyAlignment="1">
      <alignment horizontal="center"/>
    </xf>
    <xf numFmtId="0" fontId="1" fillId="12" borderId="13" xfId="0" applyFont="1" applyFill="1" applyBorder="1" applyAlignment="1">
      <alignment horizontal="center"/>
    </xf>
    <xf numFmtId="0" fontId="2" fillId="12" borderId="13" xfId="0" applyFont="1" applyFill="1" applyBorder="1" applyAlignment="1">
      <alignment horizontal="right"/>
    </xf>
    <xf numFmtId="0" fontId="12" fillId="0" borderId="5" xfId="0" applyFont="1" applyBorder="1" applyAlignment="1">
      <alignment wrapText="1"/>
    </xf>
    <xf numFmtId="0" fontId="2" fillId="12" borderId="13" xfId="0" applyFont="1" applyFill="1" applyBorder="1" applyAlignment="1">
      <alignment horizontal="left"/>
    </xf>
    <xf numFmtId="0" fontId="5" fillId="0" borderId="4" xfId="0" applyFont="1" applyBorder="1"/>
    <xf numFmtId="0" fontId="1" fillId="12" borderId="7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5" fillId="0" borderId="7" xfId="0" applyFont="1" applyBorder="1"/>
    <xf numFmtId="0" fontId="5" fillId="0" borderId="4" xfId="0" applyFont="1" applyBorder="1"/>
    <xf numFmtId="0" fontId="3" fillId="0" borderId="5" xfId="0" applyFont="1" applyBorder="1" applyAlignment="1">
      <alignment horizontal="center" wrapText="1"/>
    </xf>
    <xf numFmtId="0" fontId="2" fillId="0" borderId="0" xfId="0" applyFont="1" applyAlignment="1"/>
    <xf numFmtId="20" fontId="2" fillId="0" borderId="0" xfId="0" applyNumberFormat="1" applyFont="1"/>
    <xf numFmtId="0" fontId="4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16" fillId="0" borderId="0" xfId="0" applyFont="1" applyAlignment="1"/>
    <xf numFmtId="0" fontId="12" fillId="0" borderId="5" xfId="0" applyFont="1" applyBorder="1"/>
    <xf numFmtId="0" fontId="8" fillId="6" borderId="4" xfId="0" applyFont="1" applyFill="1" applyBorder="1"/>
    <xf numFmtId="0" fontId="2" fillId="0" borderId="4" xfId="0" applyFont="1" applyBorder="1" applyAlignment="1">
      <alignment horizontal="center"/>
    </xf>
    <xf numFmtId="0" fontId="17" fillId="0" borderId="0" xfId="0" applyFont="1"/>
    <xf numFmtId="0" fontId="1" fillId="3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3" borderId="0" xfId="0" applyFont="1" applyFill="1" applyAlignment="1">
      <alignment horizontal="center"/>
    </xf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10" borderId="2" xfId="0" applyFont="1" applyFill="1" applyBorder="1" applyAlignment="1">
      <alignment horizontal="center"/>
    </xf>
    <xf numFmtId="0" fontId="11" fillId="9" borderId="13" xfId="0" applyFont="1" applyFill="1" applyBorder="1" applyAlignment="1">
      <alignment horizontal="center"/>
    </xf>
    <xf numFmtId="0" fontId="2" fillId="0" borderId="13" xfId="0" applyFont="1" applyBorder="1"/>
    <xf numFmtId="0" fontId="1" fillId="11" borderId="2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7" fillId="1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0" xfId="0" applyFont="1" applyFill="1" applyAlignment="1">
      <alignment horizontal="center" vertical="center"/>
    </xf>
    <xf numFmtId="0" fontId="1" fillId="13" borderId="1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7" xfId="0" applyFont="1" applyBorder="1"/>
    <xf numFmtId="0" fontId="2" fillId="0" borderId="13" xfId="0" applyFont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1" fillId="14" borderId="0" xfId="0" applyFont="1" applyFill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15" borderId="1" xfId="0" applyFont="1" applyFill="1" applyBorder="1" applyAlignment="1">
      <alignment horizontal="center"/>
    </xf>
    <xf numFmtId="0" fontId="1" fillId="15" borderId="0" xfId="0" applyFont="1" applyFill="1" applyAlignment="1">
      <alignment horizontal="center"/>
    </xf>
    <xf numFmtId="0" fontId="13" fillId="12" borderId="8" xfId="0" applyFont="1" applyFill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166" fontId="2" fillId="4" borderId="4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/>
    <xf numFmtId="166" fontId="2" fillId="0" borderId="0" xfId="0" applyNumberFormat="1" applyFont="1" applyAlignment="1">
      <alignment horizontal="center" vertical="center"/>
    </xf>
    <xf numFmtId="166" fontId="2" fillId="0" borderId="0" xfId="0" applyNumberFormat="1" applyFont="1"/>
    <xf numFmtId="166" fontId="2" fillId="0" borderId="0" xfId="0" applyNumberFormat="1" applyFont="1" applyAlignment="1">
      <alignment horizontal="center"/>
    </xf>
    <xf numFmtId="166" fontId="0" fillId="0" borderId="0" xfId="0" applyNumberFormat="1" applyFont="1" applyAlignment="1"/>
    <xf numFmtId="166" fontId="1" fillId="13" borderId="0" xfId="0" applyNumberFormat="1" applyFont="1" applyFill="1" applyAlignment="1">
      <alignment horizontal="center" vertical="center"/>
    </xf>
    <xf numFmtId="166" fontId="0" fillId="0" borderId="0" xfId="0" applyNumberFormat="1" applyFont="1" applyAlignment="1"/>
    <xf numFmtId="166" fontId="2" fillId="13" borderId="15" xfId="0" applyNumberFormat="1" applyFont="1" applyFill="1" applyBorder="1" applyAlignment="1"/>
    <xf numFmtId="166" fontId="3" fillId="0" borderId="4" xfId="0" applyNumberFormat="1" applyFont="1" applyBorder="1" applyAlignment="1">
      <alignment horizontal="center" vertical="center" wrapText="1"/>
    </xf>
    <xf numFmtId="166" fontId="1" fillId="0" borderId="13" xfId="0" applyNumberFormat="1" applyFont="1" applyBorder="1" applyAlignment="1">
      <alignment horizontal="center" vertical="center"/>
    </xf>
    <xf numFmtId="166" fontId="2" fillId="4" borderId="0" xfId="0" applyNumberFormat="1" applyFont="1" applyFill="1" applyAlignment="1">
      <alignment horizontal="center"/>
    </xf>
    <xf numFmtId="166" fontId="2" fillId="7" borderId="6" xfId="0" applyNumberFormat="1" applyFont="1" applyFill="1" applyBorder="1" applyAlignment="1"/>
    <xf numFmtId="166" fontId="2" fillId="7" borderId="0" xfId="0" applyNumberFormat="1" applyFont="1" applyFill="1" applyAlignment="1"/>
    <xf numFmtId="166" fontId="2" fillId="7" borderId="0" xfId="0" applyNumberFormat="1" applyFont="1" applyFill="1" applyAlignment="1">
      <alignment horizontal="center" vertical="center"/>
    </xf>
    <xf numFmtId="166" fontId="2" fillId="0" borderId="15" xfId="0" applyNumberFormat="1" applyFont="1" applyBorder="1" applyAlignment="1"/>
    <xf numFmtId="166" fontId="2" fillId="0" borderId="15" xfId="0" applyNumberFormat="1" applyFont="1" applyBorder="1"/>
    <xf numFmtId="166" fontId="2" fillId="4" borderId="13" xfId="0" applyNumberFormat="1" applyFont="1" applyFill="1" applyBorder="1" applyAlignment="1">
      <alignment horizontal="center"/>
    </xf>
    <xf numFmtId="166" fontId="2" fillId="7" borderId="14" xfId="0" applyNumberFormat="1" applyFont="1" applyFill="1" applyBorder="1" applyAlignment="1"/>
    <xf numFmtId="166" fontId="2" fillId="7" borderId="13" xfId="0" applyNumberFormat="1" applyFont="1" applyFill="1" applyBorder="1" applyAlignment="1"/>
    <xf numFmtId="166" fontId="2" fillId="7" borderId="13" xfId="0" applyNumberFormat="1" applyFont="1" applyFill="1" applyBorder="1" applyAlignment="1">
      <alignment horizontal="center" vertical="center"/>
    </xf>
    <xf numFmtId="166" fontId="1" fillId="0" borderId="0" xfId="0" applyNumberFormat="1" applyFont="1" applyAlignment="1">
      <alignment horizontal="center"/>
    </xf>
    <xf numFmtId="166" fontId="2" fillId="0" borderId="17" xfId="0" applyNumberFormat="1" applyFont="1" applyBorder="1" applyAlignment="1"/>
    <xf numFmtId="166" fontId="2" fillId="0" borderId="17" xfId="0" applyNumberFormat="1" applyFont="1" applyBorder="1"/>
    <xf numFmtId="0" fontId="8" fillId="6" borderId="5" xfId="0" applyFont="1" applyFill="1" applyBorder="1" applyAlignment="1">
      <alignment horizontal="center"/>
    </xf>
  </cellXfs>
  <cellStyles count="1">
    <cellStyle name="Normálna" xfId="0" builtinId="0"/>
  </cellStyles>
  <dxfs count="3"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9</xdr:row>
      <xdr:rowOff>0</xdr:rowOff>
    </xdr:from>
    <xdr:ext cx="561975" cy="361950"/>
    <xdr:grpSp>
      <xdr:nvGrpSpPr>
        <xdr:cNvPr id="2" name="Shape 2" title="Nákres"/>
        <xdr:cNvGrpSpPr/>
      </xdr:nvGrpSpPr>
      <xdr:grpSpPr>
        <a:xfrm>
          <a:off x="2333625" y="1733550"/>
          <a:ext cx="543000" cy="343200"/>
          <a:chOff x="2333625" y="1733550"/>
          <a:chExt cx="543000" cy="343200"/>
        </a:xfrm>
      </xdr:grpSpPr>
      <xdr:cxnSp macro="">
        <xdr:nvCxnSpPr>
          <xdr:cNvPr id="3" name="Shape 3"/>
          <xdr:cNvCxnSpPr/>
        </xdr:nvCxnSpPr>
        <xdr:spPr>
          <a:xfrm>
            <a:off x="2333625" y="1733550"/>
            <a:ext cx="543000" cy="133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triangle" w="med" len="med"/>
          </a:ln>
        </xdr:spPr>
      </xdr:cxnSp>
      <xdr:cxnSp macro="">
        <xdr:nvCxnSpPr>
          <xdr:cNvPr id="4" name="Shape 4"/>
          <xdr:cNvCxnSpPr/>
        </xdr:nvCxnSpPr>
        <xdr:spPr>
          <a:xfrm rot="10800000" flipH="1">
            <a:off x="2333625" y="1943250"/>
            <a:ext cx="543000" cy="133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triangle" w="med" len="med"/>
          </a:ln>
        </xdr:spPr>
      </xdr:cxnSp>
    </xdr:grpSp>
    <xdr:clientData fLocksWithSheet="0"/>
  </xdr:oneCellAnchor>
  <xdr:oneCellAnchor>
    <xdr:from>
      <xdr:col>7</xdr:col>
      <xdr:colOff>476250</xdr:colOff>
      <xdr:row>5</xdr:row>
      <xdr:rowOff>0</xdr:rowOff>
    </xdr:from>
    <xdr:ext cx="561975" cy="361950"/>
    <xdr:grpSp>
      <xdr:nvGrpSpPr>
        <xdr:cNvPr id="5" name="Shape 2" title="Nákres"/>
        <xdr:cNvGrpSpPr/>
      </xdr:nvGrpSpPr>
      <xdr:grpSpPr>
        <a:xfrm>
          <a:off x="2333625" y="1733550"/>
          <a:ext cx="543000" cy="343200"/>
          <a:chOff x="2333625" y="1733550"/>
          <a:chExt cx="543000" cy="343200"/>
        </a:xfrm>
      </xdr:grpSpPr>
      <xdr:cxnSp macro="">
        <xdr:nvCxnSpPr>
          <xdr:cNvPr id="6" name="Shape 5"/>
          <xdr:cNvCxnSpPr/>
        </xdr:nvCxnSpPr>
        <xdr:spPr>
          <a:xfrm>
            <a:off x="2333625" y="1733550"/>
            <a:ext cx="543000" cy="133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triangle" w="med" len="med"/>
          </a:ln>
        </xdr:spPr>
      </xdr:cxnSp>
      <xdr:cxnSp macro="">
        <xdr:nvCxnSpPr>
          <xdr:cNvPr id="7" name="Shape 6"/>
          <xdr:cNvCxnSpPr/>
        </xdr:nvCxnSpPr>
        <xdr:spPr>
          <a:xfrm rot="10800000" flipH="1">
            <a:off x="2333625" y="1943250"/>
            <a:ext cx="543000" cy="133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triangle" w="med" len="med"/>
          </a:ln>
        </xdr:spPr>
      </xdr:cxnSp>
    </xdr:grpSp>
    <xdr:clientData fLocksWithSheet="0"/>
  </xdr:oneCellAnchor>
  <xdr:oneCellAnchor>
    <xdr:from>
      <xdr:col>11</xdr:col>
      <xdr:colOff>457200</xdr:colOff>
      <xdr:row>5</xdr:row>
      <xdr:rowOff>114300</xdr:rowOff>
    </xdr:from>
    <xdr:ext cx="590550" cy="962025"/>
    <xdr:grpSp>
      <xdr:nvGrpSpPr>
        <xdr:cNvPr id="8" name="Shape 2" title="Nákres"/>
        <xdr:cNvGrpSpPr/>
      </xdr:nvGrpSpPr>
      <xdr:grpSpPr>
        <a:xfrm>
          <a:off x="2319375" y="1200225"/>
          <a:ext cx="576150" cy="943125"/>
          <a:chOff x="2319375" y="1200225"/>
          <a:chExt cx="576150" cy="943125"/>
        </a:xfrm>
      </xdr:grpSpPr>
      <xdr:cxnSp macro="">
        <xdr:nvCxnSpPr>
          <xdr:cNvPr id="9" name="Shape 7"/>
          <xdr:cNvCxnSpPr/>
        </xdr:nvCxnSpPr>
        <xdr:spPr>
          <a:xfrm rot="10800000" flipH="1">
            <a:off x="2333625" y="1285950"/>
            <a:ext cx="533400" cy="7908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triangle" w="med" len="med"/>
          </a:ln>
        </xdr:spPr>
      </xdr:cxnSp>
      <xdr:cxnSp macro="">
        <xdr:nvCxnSpPr>
          <xdr:cNvPr id="10" name="Shape 8"/>
          <xdr:cNvCxnSpPr/>
        </xdr:nvCxnSpPr>
        <xdr:spPr>
          <a:xfrm>
            <a:off x="2333625" y="1285950"/>
            <a:ext cx="533400" cy="7908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triangle" w="med" len="med"/>
          </a:ln>
        </xdr:spPr>
      </xdr:cxnSp>
      <xdr:cxnSp macro="">
        <xdr:nvCxnSpPr>
          <xdr:cNvPr id="11" name="Shape 9"/>
          <xdr:cNvCxnSpPr/>
        </xdr:nvCxnSpPr>
        <xdr:spPr>
          <a:xfrm rot="10800000" flipH="1">
            <a:off x="2333625" y="1200225"/>
            <a:ext cx="561900" cy="666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triangle" w="med" len="med"/>
          </a:ln>
        </xdr:spPr>
      </xdr:cxnSp>
      <xdr:cxnSp macro="">
        <xdr:nvCxnSpPr>
          <xdr:cNvPr id="12" name="Shape 10"/>
          <xdr:cNvCxnSpPr/>
        </xdr:nvCxnSpPr>
        <xdr:spPr>
          <a:xfrm>
            <a:off x="2319375" y="2076750"/>
            <a:ext cx="561900" cy="666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triangle" w="med" len="med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obomaker.com.ua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robomaker.com.ua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robomaker.com.ua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robomaker.com.ua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robomaker.com.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outlinePr summaryBelow="0" summaryRight="0"/>
  </sheetPr>
  <dimension ref="A1:L994"/>
  <sheetViews>
    <sheetView workbookViewId="0">
      <pane ySplit="2" topLeftCell="A39" activePane="bottomLeft" state="frozen"/>
      <selection pane="bottomLeft" activeCell="E68" sqref="E68"/>
    </sheetView>
  </sheetViews>
  <sheetFormatPr defaultColWidth="14.44140625" defaultRowHeight="15.75" customHeight="1"/>
  <cols>
    <col min="1" max="1" width="11.5546875" customWidth="1"/>
    <col min="2" max="2" width="20.88671875" customWidth="1"/>
    <col min="3" max="3" width="25.109375" customWidth="1"/>
    <col min="5" max="5" width="15.5546875" customWidth="1"/>
    <col min="6" max="6" width="9.44140625" customWidth="1"/>
    <col min="7" max="10" width="8.33203125" customWidth="1"/>
    <col min="12" max="12" width="17.88671875" customWidth="1"/>
  </cols>
  <sheetData>
    <row r="1" spans="1:12" ht="13.2">
      <c r="A1" s="166" t="s">
        <v>1</v>
      </c>
      <c r="B1" s="167"/>
      <c r="C1" s="167"/>
      <c r="D1" s="167"/>
      <c r="E1" s="168"/>
      <c r="F1" s="169" t="s">
        <v>12</v>
      </c>
      <c r="G1" s="170"/>
      <c r="H1" s="170"/>
      <c r="I1" s="170"/>
      <c r="J1" s="170"/>
    </row>
    <row r="2" spans="1:12" ht="13.8">
      <c r="A2" s="3" t="s">
        <v>13</v>
      </c>
      <c r="B2" s="9" t="s">
        <v>6</v>
      </c>
      <c r="C2" s="3" t="s">
        <v>7</v>
      </c>
      <c r="D2" s="3" t="s">
        <v>8</v>
      </c>
      <c r="E2" s="11" t="s">
        <v>9</v>
      </c>
      <c r="F2" s="13" t="s">
        <v>18</v>
      </c>
      <c r="G2" s="13">
        <v>2</v>
      </c>
      <c r="H2" s="13" t="s">
        <v>19</v>
      </c>
      <c r="I2" s="4" t="s">
        <v>20</v>
      </c>
      <c r="J2" s="4" t="s">
        <v>21</v>
      </c>
      <c r="L2" s="16"/>
    </row>
    <row r="3" spans="1:12" ht="22.5" customHeight="1">
      <c r="A3" s="23">
        <f ca="1">IFERROR(__xludf.DUMMYFUNCTION("""COMPUTED_VALUE"""),84)</f>
        <v>84</v>
      </c>
      <c r="B3" s="21" t="str">
        <f ca="1">IFERROR(__xludf.DUMMYFUNCTION("""COMPUTED_VALUE"""),"GZ - Team")</f>
        <v>GZ - Team</v>
      </c>
      <c r="C3" s="6" t="str">
        <f ca="1">IFERROR(__xludf.DUMMYFUNCTION("""COMPUTED_VALUE"""),"Gymnázium Zlín - Lesní čtvrť")</f>
        <v>Gymnázium Zlín - Lesní čtvrť</v>
      </c>
      <c r="D3" s="23" t="str">
        <f ca="1">IFERROR(__xludf.DUMMYFUNCTION("""COMPUTED_VALUE"""),"SŠ")</f>
        <v>SŠ</v>
      </c>
      <c r="E3" s="198">
        <f>MIN(F3:J3)</f>
        <v>2.3263888888888892E-4</v>
      </c>
      <c r="F3" s="200">
        <v>2.7268518518518516E-4</v>
      </c>
      <c r="G3" s="199">
        <v>2.3263888888888892E-4</v>
      </c>
      <c r="H3" s="199"/>
      <c r="I3" s="200"/>
      <c r="J3" s="200">
        <v>4.1666666666666664E-2</v>
      </c>
      <c r="L3" s="16"/>
    </row>
    <row r="4" spans="1:12" ht="32.25" customHeight="1">
      <c r="A4" s="29">
        <f ca="1">IFERROR(__xludf.DUMMYFUNCTION("""COMPUTED_VALUE"""),20)</f>
        <v>20</v>
      </c>
      <c r="B4" s="21" t="str">
        <f ca="1">IFERROR(__xludf.DUMMYFUNCTION("""COMPUTED_VALUE"""),"RoboMaker.com.UA")</f>
        <v>RoboMaker.com.UA</v>
      </c>
      <c r="C4" s="6" t="str">
        <f ca="1">IFERROR(__xludf.DUMMYFUNCTION("""COMPUTED_VALUE"""),"Klub sportovní robotiky ""RoboMaker"" Kyjev (UA)")</f>
        <v>Klub sportovní robotiky "RoboMaker" Kyjev (UA)</v>
      </c>
      <c r="D4" s="23" t="str">
        <f ca="1">IFERROR(__xludf.DUMMYFUNCTION("""COMPUTED_VALUE"""),"ZŠ")</f>
        <v>ZŠ</v>
      </c>
      <c r="E4" s="198">
        <f>MIN(F4:J4)</f>
        <v>2.9236111111111113E-4</v>
      </c>
      <c r="F4" s="200"/>
      <c r="G4" s="200">
        <v>2.9259259259259261E-4</v>
      </c>
      <c r="H4" s="200">
        <v>2.9236111111111113E-4</v>
      </c>
      <c r="I4" s="200"/>
      <c r="J4" s="200">
        <v>4.1666666666666664E-2</v>
      </c>
    </row>
    <row r="5" spans="1:12" ht="27.6">
      <c r="A5" s="29">
        <f ca="1">IFERROR(__xludf.DUMMYFUNCTION("""COMPUTED_VALUE"""),29)</f>
        <v>29</v>
      </c>
      <c r="B5" s="21" t="str">
        <f ca="1">IFERROR(__xludf.DUMMYFUNCTION("""COMPUTED_VALUE"""),"Uniquecode")</f>
        <v>Uniquecode</v>
      </c>
      <c r="C5" s="6" t="str">
        <f ca="1">IFERROR(__xludf.DUMMYFUNCTION("""COMPUTED_VALUE"""),"Club of Robot Masters Szombathely")</f>
        <v>Club of Robot Masters Szombathely</v>
      </c>
      <c r="D5" s="23" t="str">
        <f ca="1">IFERROR(__xludf.DUMMYFUNCTION("""COMPUTED_VALUE"""),"SŠ (15-19 years)")</f>
        <v>SŠ (15-19 years)</v>
      </c>
      <c r="E5" s="198">
        <f>MIN(F5:J5)</f>
        <v>3.2372685185185184E-4</v>
      </c>
      <c r="F5" s="199"/>
      <c r="G5" s="199">
        <v>3.3564814814814812E-4</v>
      </c>
      <c r="H5" s="199">
        <v>3.2372685185185184E-4</v>
      </c>
      <c r="I5" s="200"/>
      <c r="J5" s="200">
        <v>4.1666666666666664E-2</v>
      </c>
    </row>
    <row r="6" spans="1:12" ht="27.6">
      <c r="A6" s="15">
        <f ca="1">IFERROR(__xludf.DUMMYFUNCTION("""COMPUTED_VALUE"""),60)</f>
        <v>60</v>
      </c>
      <c r="B6" s="21" t="str">
        <f ca="1">IFERROR(__xludf.DUMMYFUNCTION("""COMPUTED_VALUE"""),"SuperGo")</f>
        <v>SuperGo</v>
      </c>
      <c r="C6" s="6" t="str">
        <f ca="1">IFERROR(__xludf.DUMMYFUNCTION("""COMPUTED_VALUE"""),"Katolícka spojená škola Banská Štiavnica")</f>
        <v>Katolícka spojená škola Banská Štiavnica</v>
      </c>
      <c r="D6" s="23" t="str">
        <f ca="1">IFERROR(__xludf.DUMMYFUNCTION("""COMPUTED_VALUE"""),"ZŠ")</f>
        <v>ZŠ</v>
      </c>
      <c r="E6" s="198">
        <f>MIN(F6:J6)</f>
        <v>3.3402777777777776E-4</v>
      </c>
      <c r="F6" s="200"/>
      <c r="G6" s="200">
        <v>3.4722222222222224E-4</v>
      </c>
      <c r="H6" s="200">
        <v>3.3402777777777776E-4</v>
      </c>
      <c r="I6" s="200"/>
      <c r="J6" s="200">
        <v>4.1666666666666664E-2</v>
      </c>
    </row>
    <row r="7" spans="1:12" ht="41.4">
      <c r="A7" s="15">
        <f ca="1">IFERROR(__xludf.DUMMYFUNCTION("""COMPUTED_VALUE"""),59)</f>
        <v>59</v>
      </c>
      <c r="B7" s="21" t="str">
        <f ca="1">IFERROR(__xludf.DUMMYFUNCTION("""COMPUTED_VALUE"""),"D-team")</f>
        <v>D-team</v>
      </c>
      <c r="C7" s="6" t="str">
        <f ca="1">IFERROR(__xludf.DUMMYFUNCTION("""COMPUTED_VALUE"""),"SOŠ sv. Františka Assiského Banská Štiavnica")</f>
        <v>SOŠ sv. Františka Assiského Banská Štiavnica</v>
      </c>
      <c r="D7" s="23" t="str">
        <f ca="1">IFERROR(__xludf.DUMMYFUNCTION("""COMPUTED_VALUE"""),"SŠ")</f>
        <v>SŠ</v>
      </c>
      <c r="E7" s="198">
        <f>MIN(F7:J7)</f>
        <v>3.4328703703703702E-4</v>
      </c>
      <c r="F7" s="199"/>
      <c r="G7" s="199"/>
      <c r="H7" s="199">
        <v>3.4328703703703702E-4</v>
      </c>
      <c r="I7" s="200"/>
      <c r="J7" s="200">
        <v>4.1666666666666664E-2</v>
      </c>
    </row>
    <row r="8" spans="1:12" ht="27.6">
      <c r="A8" s="34">
        <f ca="1">IFERROR(__xludf.DUMMYFUNCTION("""COMPUTED_VALUE"""),187)</f>
        <v>187</v>
      </c>
      <c r="B8" s="21" t="str">
        <f ca="1">IFERROR(__xludf.DUMMYFUNCTION("""COMPUTED_VALUE"""),"Profesionalna robota ")</f>
        <v xml:space="preserve">Profesionalna robota </v>
      </c>
      <c r="C8" s="6" t="str">
        <f ca="1">IFERROR(__xludf.DUMMYFUNCTION("""COMPUTED_VALUE"""),"Szkola podstawowa 1 Bieruń")</f>
        <v>Szkola podstawowa 1 Bieruń</v>
      </c>
      <c r="D8" s="23" t="str">
        <f ca="1">IFERROR(__xludf.DUMMYFUNCTION("""COMPUTED_VALUE"""),"ZŠ (6-15 years)")</f>
        <v>ZŠ (6-15 years)</v>
      </c>
      <c r="E8" s="198">
        <f>MIN(F8:J8)</f>
        <v>3.6655092592592593E-4</v>
      </c>
      <c r="F8" s="200"/>
      <c r="G8" s="200">
        <v>3.6655092592592593E-4</v>
      </c>
      <c r="H8" s="199">
        <v>3.8275462962962964E-4</v>
      </c>
      <c r="I8" s="200"/>
      <c r="J8" s="200">
        <v>4.1666666666666664E-2</v>
      </c>
    </row>
    <row r="9" spans="1:12" ht="27.6">
      <c r="A9" s="34">
        <f ca="1">IFERROR(__xludf.DUMMYFUNCTION("""COMPUTED_VALUE"""),30)</f>
        <v>30</v>
      </c>
      <c r="B9" s="21" t="str">
        <f ca="1">IFERROR(__xludf.DUMMYFUNCTION("""COMPUTED_VALUE"""),"dirty blox")</f>
        <v>dirty blox</v>
      </c>
      <c r="C9" s="6" t="str">
        <f ca="1">IFERROR(__xludf.DUMMYFUNCTION("""COMPUTED_VALUE"""),"Club of Robot Masters Szombathely")</f>
        <v>Club of Robot Masters Szombathely</v>
      </c>
      <c r="D9" s="23" t="str">
        <f ca="1">IFERROR(__xludf.DUMMYFUNCTION("""COMPUTED_VALUE"""),"ZŠ (6-15 years)")</f>
        <v>ZŠ (6-15 years)</v>
      </c>
      <c r="E9" s="198">
        <f>MIN(F9:J9)</f>
        <v>3.6724537037037037E-4</v>
      </c>
      <c r="F9" s="200">
        <v>4.130787037037037E-4</v>
      </c>
      <c r="G9" s="200">
        <v>4.814814814814815E-4</v>
      </c>
      <c r="H9" s="200">
        <v>3.6724537037037037E-4</v>
      </c>
      <c r="I9" s="200"/>
      <c r="J9" s="200">
        <v>4.1666666666666664E-2</v>
      </c>
    </row>
    <row r="10" spans="1:12" ht="27.6">
      <c r="A10" s="15">
        <f ca="1">IFERROR(__xludf.DUMMYFUNCTION("""COMPUTED_VALUE"""),176)</f>
        <v>176</v>
      </c>
      <c r="B10" s="21" t="str">
        <f ca="1">IFERROR(__xludf.DUMMYFUNCTION("""COMPUTED_VALUE"""),"RK Hořínek")</f>
        <v>RK Hořínek</v>
      </c>
      <c r="C10" s="6" t="str">
        <f ca="1">IFERROR(__xludf.DUMMYFUNCTION("""COMPUTED_VALUE"""),"Gymnázium Jiřího Ortena Kutná Hora")</f>
        <v>Gymnázium Jiřího Ortena Kutná Hora</v>
      </c>
      <c r="D10" s="23" t="str">
        <f ca="1">IFERROR(__xludf.DUMMYFUNCTION("""COMPUTED_VALUE"""),"SŠ")</f>
        <v>SŠ</v>
      </c>
      <c r="E10" s="198">
        <f>MIN(F10:J10)</f>
        <v>3.7569444444444445E-4</v>
      </c>
      <c r="F10" s="200"/>
      <c r="G10" s="200">
        <v>3.7569444444444445E-4</v>
      </c>
      <c r="H10" s="200">
        <v>3.9687499999999998E-4</v>
      </c>
      <c r="I10" s="200"/>
      <c r="J10" s="200">
        <v>4.1666666666666664E-2</v>
      </c>
    </row>
    <row r="11" spans="1:12" ht="27.6">
      <c r="A11" s="15">
        <f ca="1">IFERROR(__xludf.DUMMYFUNCTION("""COMPUTED_VALUE"""),185)</f>
        <v>185</v>
      </c>
      <c r="B11" s="21" t="str">
        <f ca="1">IFERROR(__xludf.DUMMYFUNCTION("""COMPUTED_VALUE"""),"Pogrom")</f>
        <v>Pogrom</v>
      </c>
      <c r="C11" s="6" t="str">
        <f ca="1">IFERROR(__xludf.DUMMYFUNCTION("""COMPUTED_VALUE"""),"Szkola podstawowa 1 Bieruń")</f>
        <v>Szkola podstawowa 1 Bieruń</v>
      </c>
      <c r="D11" s="23" t="str">
        <f ca="1">IFERROR(__xludf.DUMMYFUNCTION("""COMPUTED_VALUE"""),"ZŠ (6-15 years)")</f>
        <v>ZŠ (6-15 years)</v>
      </c>
      <c r="E11" s="198">
        <f>MIN(F11:J11)</f>
        <v>3.8437500000000001E-4</v>
      </c>
      <c r="F11" s="203"/>
      <c r="G11" s="200"/>
      <c r="H11" s="199">
        <v>3.8437500000000001E-4</v>
      </c>
      <c r="I11" s="200"/>
      <c r="J11" s="200">
        <v>4.1666666666666664E-2</v>
      </c>
    </row>
    <row r="12" spans="1:12" ht="27.6">
      <c r="A12" s="15">
        <f ca="1">IFERROR(__xludf.DUMMYFUNCTION("""COMPUTED_VALUE"""),140)</f>
        <v>140</v>
      </c>
      <c r="B12" s="21" t="str">
        <f ca="1">IFERROR(__xludf.DUMMYFUNCTION("""COMPUTED_VALUE"""),"SOŠ-E Žilina")</f>
        <v>SOŠ-E Žilina</v>
      </c>
      <c r="C12" s="6" t="str">
        <f ca="1">IFERROR(__xludf.DUMMYFUNCTION("""COMPUTED_VALUE"""),"SOŠ elektrotechnická Žilina")</f>
        <v>SOŠ elektrotechnická Žilina</v>
      </c>
      <c r="D12" s="23" t="str">
        <f ca="1">IFERROR(__xludf.DUMMYFUNCTION("""COMPUTED_VALUE"""),"SŠ")</f>
        <v>SŠ</v>
      </c>
      <c r="E12" s="198">
        <f>MIN(F12:J12)</f>
        <v>3.87962962962963E-4</v>
      </c>
      <c r="F12" s="200">
        <v>3.87962962962963E-4</v>
      </c>
      <c r="G12" s="200">
        <v>4.1863425925925927E-4</v>
      </c>
      <c r="H12" s="200">
        <v>4.1296296296296296E-4</v>
      </c>
      <c r="I12" s="200"/>
      <c r="J12" s="200">
        <v>4.1666666666666664E-2</v>
      </c>
    </row>
    <row r="13" spans="1:12" ht="27.6">
      <c r="A13" s="15">
        <f ca="1">IFERROR(__xludf.DUMMYFUNCTION("""COMPUTED_VALUE"""),22)</f>
        <v>22</v>
      </c>
      <c r="B13" s="21" t="str">
        <f ca="1">IFERROR(__xludf.DUMMYFUNCTION("""COMPUTED_VALUE"""),"Kiborgs")</f>
        <v>Kiborgs</v>
      </c>
      <c r="C13" s="6" t="str">
        <f ca="1">IFERROR(__xludf.DUMMYFUNCTION("""COMPUTED_VALUE"""),"Lucenkovo Čerkaské gymnázium №9 (UA)")</f>
        <v>Lucenkovo Čerkaské gymnázium №9 (UA)</v>
      </c>
      <c r="D13" s="23" t="str">
        <f ca="1">IFERROR(__xludf.DUMMYFUNCTION("""COMPUTED_VALUE"""),"SŠ")</f>
        <v>SŠ</v>
      </c>
      <c r="E13" s="198">
        <f>MIN(F13:J13)</f>
        <v>4.130787037037037E-4</v>
      </c>
      <c r="F13" s="200"/>
      <c r="G13" s="200">
        <v>4.130787037037037E-4</v>
      </c>
      <c r="H13" s="200">
        <v>5.0266203703703703E-4</v>
      </c>
      <c r="I13" s="200"/>
      <c r="J13" s="200">
        <v>4.1666666666666664E-2</v>
      </c>
    </row>
    <row r="14" spans="1:12" ht="13.8">
      <c r="A14" s="15">
        <f ca="1">IFERROR(__xludf.DUMMYFUNCTION("""COMPUTED_VALUE"""),37)</f>
        <v>37</v>
      </c>
      <c r="B14" s="21" t="str">
        <f ca="1">IFERROR(__xludf.DUMMYFUNCTION("""COMPUTED_VALUE"""),"Gyzáci")</f>
        <v>Gyzáci</v>
      </c>
      <c r="C14" s="6" t="str">
        <f ca="1">IFERROR(__xludf.DUMMYFUNCTION("""COMPUTED_VALUE"""),"Gymnázium Zábřeh")</f>
        <v>Gymnázium Zábřeh</v>
      </c>
      <c r="D14" s="23" t="str">
        <f ca="1">IFERROR(__xludf.DUMMYFUNCTION("""COMPUTED_VALUE"""),"SŠ")</f>
        <v>SŠ</v>
      </c>
      <c r="E14" s="198">
        <f>MIN(F14:J14)</f>
        <v>4.1412037037037036E-4</v>
      </c>
      <c r="F14" s="200">
        <v>4.4942129629629629E-4</v>
      </c>
      <c r="G14" s="200">
        <v>4.1412037037037036E-4</v>
      </c>
      <c r="H14" s="199"/>
      <c r="I14" s="200"/>
      <c r="J14" s="200">
        <v>4.1666666666666664E-2</v>
      </c>
    </row>
    <row r="15" spans="1:12" ht="27.6">
      <c r="A15" s="34">
        <f ca="1">IFERROR(__xludf.DUMMYFUNCTION("""COMPUTED_VALUE"""),80)</f>
        <v>80</v>
      </c>
      <c r="B15" s="21" t="str">
        <f ca="1">IFERROR(__xludf.DUMMYFUNCTION("""COMPUTED_VALUE"""),"WZM Team")</f>
        <v>WZM Team</v>
      </c>
      <c r="C15" s="6" t="str">
        <f ca="1">IFERROR(__xludf.DUMMYFUNCTION("""COMPUTED_VALUE"""),"Gymnázium Zlín - Lesní čtvrť")</f>
        <v>Gymnázium Zlín - Lesní čtvrť</v>
      </c>
      <c r="D15" s="23" t="str">
        <f ca="1">IFERROR(__xludf.DUMMYFUNCTION("""COMPUTED_VALUE"""),"SŠ")</f>
        <v>SŠ</v>
      </c>
      <c r="E15" s="198">
        <f>MIN(F15:J15)</f>
        <v>4.3460648148148145E-4</v>
      </c>
      <c r="F15" s="200">
        <v>4.3460648148148145E-4</v>
      </c>
      <c r="G15" s="200"/>
      <c r="H15" s="200"/>
      <c r="I15" s="200"/>
      <c r="J15" s="200">
        <v>4.1666666666666664E-2</v>
      </c>
    </row>
    <row r="16" spans="1:12" ht="27.6">
      <c r="A16" s="15">
        <f ca="1">IFERROR(__xludf.DUMMYFUNCTION("""COMPUTED_VALUE"""),92)</f>
        <v>92</v>
      </c>
      <c r="B16" s="21" t="str">
        <f ca="1">IFERROR(__xludf.DUMMYFUNCTION("""COMPUTED_VALUE"""),"thrax")</f>
        <v>thrax</v>
      </c>
      <c r="C16" s="6" t="str">
        <f ca="1">IFERROR(__xludf.DUMMYFUNCTION("""COMPUTED_VALUE"""),"Klub robotiky The Benders Žilina")</f>
        <v>Klub robotiky The Benders Žilina</v>
      </c>
      <c r="D16" s="23" t="str">
        <f ca="1">IFERROR(__xludf.DUMMYFUNCTION("""COMPUTED_VALUE"""),"ZŠ")</f>
        <v>ZŠ</v>
      </c>
      <c r="E16" s="198">
        <f>MIN(F16:J16)</f>
        <v>4.715277777777778E-4</v>
      </c>
      <c r="F16" s="199">
        <v>7.2974537037037029E-4</v>
      </c>
      <c r="G16" s="199">
        <v>4.861111111111111E-4</v>
      </c>
      <c r="H16" s="199">
        <v>4.715277777777778E-4</v>
      </c>
      <c r="I16" s="200"/>
      <c r="J16" s="200">
        <v>4.1666666666666664E-2</v>
      </c>
    </row>
    <row r="17" spans="1:10" ht="27.6">
      <c r="A17" s="15">
        <f ca="1">IFERROR(__xludf.DUMMYFUNCTION("""COMPUTED_VALUE"""),73)</f>
        <v>73</v>
      </c>
      <c r="B17" s="21" t="str">
        <f ca="1">IFERROR(__xludf.DUMMYFUNCTION("""COMPUTED_VALUE"""),"Tým1")</f>
        <v>Tým1</v>
      </c>
      <c r="C17" s="6" t="str">
        <f ca="1">IFERROR(__xludf.DUMMYFUNCTION("""COMPUTED_VALUE"""),"Jiráskovo gymnázium Náchod")</f>
        <v>Jiráskovo gymnázium Náchod</v>
      </c>
      <c r="D17" s="23" t="str">
        <f ca="1">IFERROR(__xludf.DUMMYFUNCTION("""COMPUTED_VALUE"""),"ZŠ")</f>
        <v>ZŠ</v>
      </c>
      <c r="E17" s="198">
        <f>MIN(F17:J17)</f>
        <v>4.7418981481481482E-4</v>
      </c>
      <c r="F17" s="200">
        <v>4.9317129629629624E-4</v>
      </c>
      <c r="G17" s="200">
        <v>4.7418981481481482E-4</v>
      </c>
      <c r="H17" s="200">
        <v>5.1284722222222226E-4</v>
      </c>
      <c r="I17" s="200"/>
      <c r="J17" s="200">
        <v>4.1666666666666664E-2</v>
      </c>
    </row>
    <row r="18" spans="1:10" ht="27.6">
      <c r="A18" s="34">
        <f ca="1">IFERROR(__xludf.DUMMYFUNCTION("""COMPUTED_VALUE"""),77)</f>
        <v>77</v>
      </c>
      <c r="B18" s="21" t="str">
        <f ca="1">IFERROR(__xludf.DUMMYFUNCTION("""COMPUTED_VALUE"""),"Tým 5")</f>
        <v>Tým 5</v>
      </c>
      <c r="C18" s="6" t="str">
        <f ca="1">IFERROR(__xludf.DUMMYFUNCTION("""COMPUTED_VALUE"""),"Jiráskovo gymnázium Náchod")</f>
        <v>Jiráskovo gymnázium Náchod</v>
      </c>
      <c r="D18" s="23" t="str">
        <f ca="1">IFERROR(__xludf.DUMMYFUNCTION("""COMPUTED_VALUE"""),"SŠ")</f>
        <v>SŠ</v>
      </c>
      <c r="E18" s="198">
        <f>MIN(F18:J18)</f>
        <v>4.7627314814814814E-4</v>
      </c>
      <c r="F18" s="200"/>
      <c r="G18" s="200">
        <v>5.0104166666666667E-4</v>
      </c>
      <c r="H18" s="200">
        <v>4.7627314814814814E-4</v>
      </c>
      <c r="I18" s="200"/>
      <c r="J18" s="200">
        <v>4.1666666666666664E-2</v>
      </c>
    </row>
    <row r="19" spans="1:10" ht="41.4">
      <c r="A19" s="34">
        <f ca="1">IFERROR(__xludf.DUMMYFUNCTION("""COMPUTED_VALUE"""),47)</f>
        <v>47</v>
      </c>
      <c r="B19" s="21" t="str">
        <f ca="1">IFERROR(__xludf.DUMMYFUNCTION("""COMPUTED_VALUE"""),"SPŠ IT 2")</f>
        <v>SPŠ IT 2</v>
      </c>
      <c r="C19" s="6" t="str">
        <f ca="1">IFERROR(__xludf.DUMMYFUNCTION("""COMPUTED_VALUE"""),"SPŠ informačných technológií Kysucké Nové Mesto")</f>
        <v>SPŠ informačných technológií Kysucké Nové Mesto</v>
      </c>
      <c r="D19" s="23" t="str">
        <f ca="1">IFERROR(__xludf.DUMMYFUNCTION("""COMPUTED_VALUE"""),"SŠ")</f>
        <v>SŠ</v>
      </c>
      <c r="E19" s="198">
        <f>MIN(F19:J19)</f>
        <v>4.8553240740740745E-4</v>
      </c>
      <c r="F19" s="200">
        <v>5.4317129629629626E-4</v>
      </c>
      <c r="G19" s="200">
        <v>4.8553240740740745E-4</v>
      </c>
      <c r="H19" s="200">
        <v>4.9398148148148153E-4</v>
      </c>
      <c r="I19" s="200"/>
      <c r="J19" s="200">
        <v>4.1666666666666664E-2</v>
      </c>
    </row>
    <row r="20" spans="1:10" ht="13.8">
      <c r="A20" s="34">
        <f ca="1">IFERROR(__xludf.DUMMYFUNCTION("""COMPUTED_VALUE"""),147)</f>
        <v>147</v>
      </c>
      <c r="B20" s="21" t="str">
        <f ca="1">IFERROR(__xludf.DUMMYFUNCTION("""COMPUTED_VALUE"""),"StormBots")</f>
        <v>StormBots</v>
      </c>
      <c r="C20" s="6" t="str">
        <f ca="1">IFERROR(__xludf.DUMMYFUNCTION("""COMPUTED_VALUE"""),"SVČ INSPIRO Tišnov")</f>
        <v>SVČ INSPIRO Tišnov</v>
      </c>
      <c r="D20" s="23" t="str">
        <f ca="1">IFERROR(__xludf.DUMMYFUNCTION("""COMPUTED_VALUE"""),"ZŠ")</f>
        <v>ZŠ</v>
      </c>
      <c r="E20" s="198">
        <f>MIN(F20:J20)</f>
        <v>4.9143518518518525E-4</v>
      </c>
      <c r="F20" s="199"/>
      <c r="G20" s="199">
        <v>4.9918981481481483E-4</v>
      </c>
      <c r="H20" s="199">
        <v>4.9143518518518525E-4</v>
      </c>
      <c r="I20" s="200"/>
      <c r="J20" s="200">
        <v>4.1666666666666664E-2</v>
      </c>
    </row>
    <row r="21" spans="1:10" ht="27.6">
      <c r="A21" s="15">
        <f ca="1">IFERROR(__xludf.DUMMYFUNCTION("""COMPUTED_VALUE"""),23)</f>
        <v>23</v>
      </c>
      <c r="B21" s="21" t="str">
        <f ca="1">IFERROR(__xludf.DUMMYFUNCTION("""COMPUTED_VALUE"""),"KiborgsUA")</f>
        <v>KiborgsUA</v>
      </c>
      <c r="C21" s="6" t="str">
        <f ca="1">IFERROR(__xludf.DUMMYFUNCTION("""COMPUTED_VALUE"""),"Lucenkovo Čerkaské gymnázium №9 (UA)")</f>
        <v>Lucenkovo Čerkaské gymnázium №9 (UA)</v>
      </c>
      <c r="D21" s="23" t="str">
        <f ca="1">IFERROR(__xludf.DUMMYFUNCTION("""COMPUTED_VALUE"""),"ZŠ")</f>
        <v>ZŠ</v>
      </c>
      <c r="E21" s="198">
        <f>MIN(F21:J21)</f>
        <v>5.2303240740740739E-4</v>
      </c>
      <c r="F21" s="202">
        <v>6.8159722222222222E-4</v>
      </c>
      <c r="G21" s="200">
        <v>5.2303240740740739E-4</v>
      </c>
      <c r="H21" s="200">
        <v>5.9212962962962962E-4</v>
      </c>
      <c r="I21" s="200"/>
      <c r="J21" s="200">
        <v>4.1666666666666664E-2</v>
      </c>
    </row>
    <row r="22" spans="1:10" ht="13.8">
      <c r="A22" s="15">
        <f ca="1">IFERROR(__xludf.DUMMYFUNCTION("""COMPUTED_VALUE"""),114)</f>
        <v>114</v>
      </c>
      <c r="B22" s="21" t="str">
        <f ca="1">IFERROR(__xludf.DUMMYFUNCTION("""COMPUTED_VALUE"""),"Hradečtí baráčníci")</f>
        <v>Hradečtí baráčníci</v>
      </c>
      <c r="C22" s="6" t="str">
        <f ca="1">IFERROR(__xludf.DUMMYFUNCTION("""COMPUTED_VALUE"""),"DDM Hradec Králové")</f>
        <v>DDM Hradec Králové</v>
      </c>
      <c r="D22" s="23" t="str">
        <f ca="1">IFERROR(__xludf.DUMMYFUNCTION("""COMPUTED_VALUE"""),"ZŠ")</f>
        <v>ZŠ</v>
      </c>
      <c r="E22" s="198">
        <f>MIN(F22:J22)</f>
        <v>5.2326388888888887E-4</v>
      </c>
      <c r="F22" s="199">
        <v>5.3425925925925917E-4</v>
      </c>
      <c r="G22" s="199">
        <v>5.2326388888888887E-4</v>
      </c>
      <c r="H22" s="199"/>
      <c r="I22" s="200"/>
      <c r="J22" s="200">
        <v>4.1666666666666664E-2</v>
      </c>
    </row>
    <row r="23" spans="1:10" ht="27.6">
      <c r="A23" s="15">
        <f ca="1">IFERROR(__xludf.DUMMYFUNCTION("""COMPUTED_VALUE"""),93)</f>
        <v>93</v>
      </c>
      <c r="B23" s="21" t="str">
        <f ca="1">IFERROR(__xludf.DUMMYFUNCTION("""COMPUTED_VALUE"""),"Lone stormtrooper")</f>
        <v>Lone stormtrooper</v>
      </c>
      <c r="C23" s="6" t="str">
        <f ca="1">IFERROR(__xludf.DUMMYFUNCTION("""COMPUTED_VALUE"""),"The Benders - Amavet klub 958 ")</f>
        <v xml:space="preserve">The Benders - Amavet klub 958 </v>
      </c>
      <c r="D23" s="23" t="str">
        <f ca="1">IFERROR(__xludf.DUMMYFUNCTION("""COMPUTED_VALUE"""),"ZŠ")</f>
        <v>ZŠ</v>
      </c>
      <c r="E23" s="198">
        <f>MIN(F23:J23)</f>
        <v>5.282407407407408E-4</v>
      </c>
      <c r="F23" s="203"/>
      <c r="G23" s="200"/>
      <c r="H23" s="199">
        <v>5.282407407407408E-4</v>
      </c>
      <c r="I23" s="200"/>
      <c r="J23" s="200">
        <v>4.1666666666666664E-2</v>
      </c>
    </row>
    <row r="24" spans="1:10" ht="13.8">
      <c r="A24" s="34">
        <f ca="1">IFERROR(__xludf.DUMMYFUNCTION("""COMPUTED_VALUE"""),112)</f>
        <v>112</v>
      </c>
      <c r="B24" s="21" t="str">
        <f ca="1">IFERROR(__xludf.DUMMYFUNCTION("""COMPUTED_VALUE"""),"CRobot")</f>
        <v>CRobot</v>
      </c>
      <c r="C24" s="6" t="str">
        <f ca="1">IFERROR(__xludf.DUMMYFUNCTION("""COMPUTED_VALUE"""),"Centrum robotiky Plzeň ")</f>
        <v xml:space="preserve">Centrum robotiky Plzeň </v>
      </c>
      <c r="D24" s="23" t="str">
        <f ca="1">IFERROR(__xludf.DUMMYFUNCTION("""COMPUTED_VALUE"""),"ZŠ")</f>
        <v>ZŠ</v>
      </c>
      <c r="E24" s="198">
        <f>MIN(F24:J24)</f>
        <v>5.6805555555555559E-4</v>
      </c>
      <c r="F24" s="202">
        <v>7.4965277777777769E-4</v>
      </c>
      <c r="G24" s="200">
        <v>7.7581018518518515E-4</v>
      </c>
      <c r="H24" s="200">
        <v>5.6805555555555559E-4</v>
      </c>
      <c r="I24" s="200"/>
      <c r="J24" s="200">
        <v>4.1666666666666664E-2</v>
      </c>
    </row>
    <row r="25" spans="1:10" ht="13.8">
      <c r="A25" s="15">
        <f ca="1">IFERROR(__xludf.DUMMYFUNCTION("""COMPUTED_VALUE"""),5)</f>
        <v>5</v>
      </c>
      <c r="B25" s="21" t="str">
        <f ca="1">IFERROR(__xludf.DUMMYFUNCTION("""COMPUTED_VALUE"""),"Suchoši")</f>
        <v>Suchoši</v>
      </c>
      <c r="C25" s="6" t="str">
        <f ca="1">IFERROR(__xludf.DUMMYFUNCTION("""COMPUTED_VALUE"""),"SPŠ a SOU Uničov")</f>
        <v>SPŠ a SOU Uničov</v>
      </c>
      <c r="D25" s="23" t="str">
        <f ca="1">IFERROR(__xludf.DUMMYFUNCTION("""COMPUTED_VALUE"""),"ZŠ")</f>
        <v>ZŠ</v>
      </c>
      <c r="E25" s="198">
        <f>MIN(F25:J25)</f>
        <v>5.6921296296296299E-4</v>
      </c>
      <c r="F25" s="200"/>
      <c r="G25" s="200">
        <v>5.6921296296296299E-4</v>
      </c>
      <c r="H25" s="200">
        <v>6.1319444444444442E-4</v>
      </c>
      <c r="I25" s="200"/>
      <c r="J25" s="200">
        <v>4.1666666666666664E-2</v>
      </c>
    </row>
    <row r="26" spans="1:10" ht="13.8">
      <c r="A26" s="15">
        <f ca="1">IFERROR(__xludf.DUMMYFUNCTION("""COMPUTED_VALUE"""),39)</f>
        <v>39</v>
      </c>
      <c r="B26" s="21" t="str">
        <f ca="1">IFERROR(__xludf.DUMMYFUNCTION("""COMPUTED_VALUE"""),"AZYG")</f>
        <v>AZYG</v>
      </c>
      <c r="C26" s="6" t="str">
        <f ca="1">IFERROR(__xludf.DUMMYFUNCTION("""COMPUTED_VALUE"""),"Gymnázium Zábřeh")</f>
        <v>Gymnázium Zábřeh</v>
      </c>
      <c r="D26" s="23" t="str">
        <f ca="1">IFERROR(__xludf.DUMMYFUNCTION("""COMPUTED_VALUE"""),"ZŠ")</f>
        <v>ZŠ</v>
      </c>
      <c r="E26" s="198">
        <f>MIN(F26:J26)</f>
        <v>5.9155092592592592E-4</v>
      </c>
      <c r="F26" s="200"/>
      <c r="G26" s="200">
        <v>6.5509259259259264E-4</v>
      </c>
      <c r="H26" s="200">
        <v>5.9155092592592592E-4</v>
      </c>
      <c r="I26" s="200"/>
      <c r="J26" s="200">
        <v>4.1666666666666664E-2</v>
      </c>
    </row>
    <row r="27" spans="1:10" ht="27.6">
      <c r="A27" s="15">
        <f ca="1">IFERROR(__xludf.DUMMYFUNCTION("""COMPUTED_VALUE"""),133)</f>
        <v>133</v>
      </c>
      <c r="B27" s="21" t="str">
        <f ca="1">IFERROR(__xludf.DUMMYFUNCTION("""COMPUTED_VALUE"""),"Černilováci")</f>
        <v>Černilováci</v>
      </c>
      <c r="C27" s="6" t="str">
        <f ca="1">IFERROR(__xludf.DUMMYFUNCTION("""COMPUTED_VALUE"""),"Masarykova jubilejní ZŠ a MŠ Černilov")</f>
        <v>Masarykova jubilejní ZŠ a MŠ Černilov</v>
      </c>
      <c r="D27" s="23" t="str">
        <f ca="1">IFERROR(__xludf.DUMMYFUNCTION("""COMPUTED_VALUE"""),"ZŠ")</f>
        <v>ZŠ</v>
      </c>
      <c r="E27" s="198">
        <f>MIN(F27:J27)</f>
        <v>6.4525462962962963E-4</v>
      </c>
      <c r="F27" s="199">
        <v>6.6550925925925924E-4</v>
      </c>
      <c r="G27" s="199">
        <v>6.4525462962962963E-4</v>
      </c>
      <c r="H27" s="199"/>
      <c r="I27" s="200"/>
      <c r="J27" s="200">
        <v>4.1666666666666664E-2</v>
      </c>
    </row>
    <row r="28" spans="1:10" ht="13.8">
      <c r="A28" s="34">
        <f ca="1">IFERROR(__xludf.DUMMYFUNCTION("""COMPUTED_VALUE"""),41)</f>
        <v>41</v>
      </c>
      <c r="B28" s="21" t="str">
        <f ca="1">IFERROR(__xludf.DUMMYFUNCTION("""COMPUTED_VALUE"""),"Modrý Masaryk")</f>
        <v>Modrý Masaryk</v>
      </c>
      <c r="C28" s="6" t="str">
        <f ca="1">IFERROR(__xludf.DUMMYFUNCTION("""COMPUTED_VALUE"""),"Masarykova ZŠ Plzeň")</f>
        <v>Masarykova ZŠ Plzeň</v>
      </c>
      <c r="D28" s="23" t="str">
        <f ca="1">IFERROR(__xludf.DUMMYFUNCTION("""COMPUTED_VALUE"""),"ZŠ")</f>
        <v>ZŠ</v>
      </c>
      <c r="E28" s="198">
        <f>MIN(F28:J28)</f>
        <v>6.6400462962962962E-4</v>
      </c>
      <c r="F28" s="200">
        <v>6.6400462962962962E-4</v>
      </c>
      <c r="G28" s="200"/>
      <c r="H28" s="200"/>
      <c r="I28" s="200"/>
      <c r="J28" s="200">
        <v>4.1666666666666664E-2</v>
      </c>
    </row>
    <row r="29" spans="1:10" ht="27.6">
      <c r="A29" s="15">
        <f ca="1">IFERROR(__xludf.DUMMYFUNCTION("""COMPUTED_VALUE"""),132)</f>
        <v>132</v>
      </c>
      <c r="B29" s="21" t="str">
        <f ca="1">IFERROR(__xludf.DUMMYFUNCTION("""COMPUTED_VALUE"""),"Vypečené duo")</f>
        <v>Vypečené duo</v>
      </c>
      <c r="C29" s="6" t="str">
        <f ca="1">IFERROR(__xludf.DUMMYFUNCTION("""COMPUTED_VALUE"""),"Gymnázuim Jana Keplera Praha")</f>
        <v>Gymnázuim Jana Keplera Praha</v>
      </c>
      <c r="D29" s="23" t="str">
        <f ca="1">IFERROR(__xludf.DUMMYFUNCTION("""COMPUTED_VALUE"""),"SŠ")</f>
        <v>SŠ</v>
      </c>
      <c r="E29" s="198">
        <f>MIN(F29:J29)</f>
        <v>6.9224537037037041E-4</v>
      </c>
      <c r="F29" s="199"/>
      <c r="G29" s="200">
        <v>6.9224537037037041E-4</v>
      </c>
      <c r="H29" s="199">
        <v>7.0266203703703701E-4</v>
      </c>
      <c r="I29" s="200"/>
      <c r="J29" s="200">
        <v>4.1666666666666664E-2</v>
      </c>
    </row>
    <row r="30" spans="1:10" ht="27.6">
      <c r="A30" s="34">
        <f ca="1">IFERROR(__xludf.DUMMYFUNCTION("""COMPUTED_VALUE"""),160)</f>
        <v>160</v>
      </c>
      <c r="B30" s="21" t="str">
        <f ca="1">IFERROR(__xludf.DUMMYFUNCTION("""COMPUTED_VALUE"""),"Holi Moli")</f>
        <v>Holi Moli</v>
      </c>
      <c r="C30" s="6" t="str">
        <f ca="1">IFERROR(__xludf.DUMMYFUNCTION("""COMPUTED_VALUE"""),"ZŠ Edvarda Beneše Lysice")</f>
        <v>ZŠ Edvarda Beneše Lysice</v>
      </c>
      <c r="D30" s="23" t="str">
        <f ca="1">IFERROR(__xludf.DUMMYFUNCTION("""COMPUTED_VALUE"""),"ZŠ")</f>
        <v>ZŠ</v>
      </c>
      <c r="E30" s="198">
        <f>MIN(F30:J30)</f>
        <v>6.9421296296296288E-4</v>
      </c>
      <c r="F30" s="200">
        <v>6.9421296296296288E-4</v>
      </c>
      <c r="G30" s="200">
        <v>7.1712962962962963E-4</v>
      </c>
      <c r="H30" s="200"/>
      <c r="I30" s="200"/>
      <c r="J30" s="200">
        <v>4.1666666666666664E-2</v>
      </c>
    </row>
    <row r="31" spans="1:10" ht="13.8">
      <c r="A31" s="15">
        <f ca="1">IFERROR(__xludf.DUMMYFUNCTION("""COMPUTED_VALUE"""),43)</f>
        <v>43</v>
      </c>
      <c r="B31" s="21" t="str">
        <f ca="1">IFERROR(__xludf.DUMMYFUNCTION("""COMPUTED_VALUE"""),"Červený Masaryk")</f>
        <v>Červený Masaryk</v>
      </c>
      <c r="C31" s="6" t="str">
        <f ca="1">IFERROR(__xludf.DUMMYFUNCTION("""COMPUTED_VALUE"""),"Masarykova ZŠ Plzeň")</f>
        <v>Masarykova ZŠ Plzeň</v>
      </c>
      <c r="D31" s="23" t="str">
        <f ca="1">IFERROR(__xludf.DUMMYFUNCTION("""COMPUTED_VALUE"""),"ZŠ")</f>
        <v>ZŠ</v>
      </c>
      <c r="E31" s="198">
        <f>MIN(F31:J31)</f>
        <v>7.1296296296296299E-4</v>
      </c>
      <c r="F31" s="199">
        <v>7.8020833333333327E-4</v>
      </c>
      <c r="G31" s="199">
        <v>7.4467592592592597E-4</v>
      </c>
      <c r="H31" s="199">
        <v>7.1296296296296299E-4</v>
      </c>
      <c r="I31" s="200"/>
      <c r="J31" s="200">
        <v>4.1666666666666664E-2</v>
      </c>
    </row>
    <row r="32" spans="1:10" ht="27.6">
      <c r="A32" s="34">
        <f ca="1">IFERROR(__xludf.DUMMYFUNCTION("""COMPUTED_VALUE"""),149)</f>
        <v>149</v>
      </c>
      <c r="B32" s="21" t="str">
        <f ca="1">IFERROR(__xludf.DUMMYFUNCTION("""COMPUTED_VALUE"""),"TÉKÁČKO")</f>
        <v>TÉKÁČKO</v>
      </c>
      <c r="C32" s="6" t="str">
        <f ca="1">IFERROR(__xludf.DUMMYFUNCTION("""COMPUTED_VALUE"""),"Technologický klub Albrechtice n/Orlicí")</f>
        <v>Technologický klub Albrechtice n/Orlicí</v>
      </c>
      <c r="D32" s="23" t="str">
        <f ca="1">IFERROR(__xludf.DUMMYFUNCTION("""COMPUTED_VALUE"""),"ZŠ")</f>
        <v>ZŠ</v>
      </c>
      <c r="E32" s="198">
        <f>MIN(F32:J32)</f>
        <v>7.2881944444444448E-4</v>
      </c>
      <c r="F32" s="200">
        <v>9.3749999999999997E-4</v>
      </c>
      <c r="G32" s="199">
        <v>7.2881944444444448E-4</v>
      </c>
      <c r="H32" s="199">
        <v>8.5856481481481493E-4</v>
      </c>
      <c r="I32" s="200"/>
      <c r="J32" s="200">
        <v>4.1666666666666664E-2</v>
      </c>
    </row>
    <row r="33" spans="1:10" ht="13.8">
      <c r="A33" s="34">
        <f ca="1">IFERROR(__xludf.DUMMYFUNCTION("""COMPUTED_VALUE"""),113)</f>
        <v>113</v>
      </c>
      <c r="B33" s="21" t="str">
        <f ca="1">IFERROR(__xludf.DUMMYFUNCTION("""COMPUTED_VALUE"""),"CZŠ Veselí")</f>
        <v>CZŠ Veselí</v>
      </c>
      <c r="C33" s="6" t="str">
        <f ca="1">IFERROR(__xludf.DUMMYFUNCTION("""COMPUTED_VALUE"""),"CZŠ Veselí nad Moravou")</f>
        <v>CZŠ Veselí nad Moravou</v>
      </c>
      <c r="D33" s="23" t="str">
        <f ca="1">IFERROR(__xludf.DUMMYFUNCTION("""COMPUTED_VALUE"""),"ZŠ")</f>
        <v>ZŠ</v>
      </c>
      <c r="E33" s="198">
        <f>MIN(F33:J33)</f>
        <v>7.3564814814814814E-4</v>
      </c>
      <c r="F33" s="200">
        <v>7.3564814814814814E-4</v>
      </c>
      <c r="G33" s="199"/>
      <c r="H33" s="201"/>
      <c r="I33" s="200"/>
      <c r="J33" s="200">
        <v>4.1666666666666664E-2</v>
      </c>
    </row>
    <row r="34" spans="1:10" ht="27.6">
      <c r="A34" s="15">
        <f ca="1">IFERROR(__xludf.DUMMYFUNCTION("""COMPUTED_VALUE"""),70)</f>
        <v>70</v>
      </c>
      <c r="B34" s="21" t="str">
        <f ca="1">IFERROR(__xludf.DUMMYFUNCTION("""COMPUTED_VALUE"""),"Krasohled3")</f>
        <v>Krasohled3</v>
      </c>
      <c r="C34" s="6" t="str">
        <f ca="1">IFERROR(__xludf.DUMMYFUNCTION("""COMPUTED_VALUE"""),"ZŠ a DDM Krasohled Zábřeh ")</f>
        <v xml:space="preserve">ZŠ a DDM Krasohled Zábřeh </v>
      </c>
      <c r="D34" s="23" t="str">
        <f ca="1">IFERROR(__xludf.DUMMYFUNCTION("""COMPUTED_VALUE"""),"ZŠ")</f>
        <v>ZŠ</v>
      </c>
      <c r="E34" s="198">
        <f>MIN(F34:J34)</f>
        <v>7.3877314814814812E-4</v>
      </c>
      <c r="F34" s="200">
        <v>1.0410879629629631E-3</v>
      </c>
      <c r="G34" s="199">
        <v>8.108796296296296E-4</v>
      </c>
      <c r="H34" s="199">
        <v>7.3877314814814812E-4</v>
      </c>
      <c r="I34" s="200"/>
      <c r="J34" s="200">
        <v>4.1666666666666664E-2</v>
      </c>
    </row>
    <row r="35" spans="1:10" ht="27.6">
      <c r="A35" s="15">
        <f ca="1">IFERROR(__xludf.DUMMYFUNCTION("""COMPUTED_VALUE"""),82)</f>
        <v>82</v>
      </c>
      <c r="B35" s="21" t="str">
        <f ca="1">IFERROR(__xludf.DUMMYFUNCTION("""COMPUTED_VALUE"""),"Gymzláci")</f>
        <v>Gymzláci</v>
      </c>
      <c r="C35" s="6" t="str">
        <f ca="1">IFERROR(__xludf.DUMMYFUNCTION("""COMPUTED_VALUE"""),"Gymnázium Zlín - Lesní čtvrť")</f>
        <v>Gymnázium Zlín - Lesní čtvrť</v>
      </c>
      <c r="D35" s="23" t="str">
        <f ca="1">IFERROR(__xludf.DUMMYFUNCTION("""COMPUTED_VALUE"""),"ZŠ")</f>
        <v>ZŠ</v>
      </c>
      <c r="E35" s="198">
        <f>MIN(F35:J35)</f>
        <v>7.4895833333333325E-4</v>
      </c>
      <c r="F35" s="200">
        <v>8.0902777777777787E-4</v>
      </c>
      <c r="G35" s="200">
        <v>8.2256944444444435E-4</v>
      </c>
      <c r="H35" s="200">
        <v>7.4895833333333325E-4</v>
      </c>
      <c r="I35" s="200"/>
      <c r="J35" s="200">
        <v>4.1666666666666664E-2</v>
      </c>
    </row>
    <row r="36" spans="1:10" ht="13.8">
      <c r="A36" s="15">
        <f ca="1">IFERROR(__xludf.DUMMYFUNCTION("""COMPUTED_VALUE"""),99)</f>
        <v>99</v>
      </c>
      <c r="B36" s="21" t="str">
        <f ca="1">IFERROR(__xludf.DUMMYFUNCTION("""COMPUTED_VALUE"""),"PORG 3")</f>
        <v>PORG 3</v>
      </c>
      <c r="C36" s="6" t="str">
        <f ca="1">IFERROR(__xludf.DUMMYFUNCTION("""COMPUTED_VALUE"""),"Gymnázium PORG Praha")</f>
        <v>Gymnázium PORG Praha</v>
      </c>
      <c r="D36" s="23" t="str">
        <f ca="1">IFERROR(__xludf.DUMMYFUNCTION("""COMPUTED_VALUE"""),"ZŠ")</f>
        <v>ZŠ</v>
      </c>
      <c r="E36" s="198">
        <f>MIN(F36:J36)</f>
        <v>7.571759259259259E-4</v>
      </c>
      <c r="F36" s="199">
        <v>7.7604166666666663E-4</v>
      </c>
      <c r="G36" s="199">
        <v>7.571759259259259E-4</v>
      </c>
      <c r="H36" s="199"/>
      <c r="I36" s="200"/>
      <c r="J36" s="200">
        <v>4.1666666666666664E-2</v>
      </c>
    </row>
    <row r="37" spans="1:10" ht="27.6">
      <c r="A37" s="34">
        <f ca="1">IFERROR(__xludf.DUMMYFUNCTION("""COMPUTED_VALUE"""),34)</f>
        <v>34</v>
      </c>
      <c r="B37" s="21" t="str">
        <f ca="1">IFERROR(__xludf.DUMMYFUNCTION("""COMPUTED_VALUE"""),"GLIGOR")</f>
        <v>GLIGOR</v>
      </c>
      <c r="C37" s="6" t="str">
        <f ca="1">IFERROR(__xludf.DUMMYFUNCTION("""COMPUTED_VALUE"""),"STEM-school Inventor Kyjev (UA)")</f>
        <v>STEM-school Inventor Kyjev (UA)</v>
      </c>
      <c r="D37" s="23" t="str">
        <f ca="1">IFERROR(__xludf.DUMMYFUNCTION("""COMPUTED_VALUE"""),"ZŠ")</f>
        <v>ZŠ</v>
      </c>
      <c r="E37" s="198">
        <f>MIN(F37:J37)</f>
        <v>7.6099537037037032E-4</v>
      </c>
      <c r="F37" s="200"/>
      <c r="G37" s="199">
        <v>7.6099537037037032E-4</v>
      </c>
      <c r="H37" s="199"/>
      <c r="I37" s="200"/>
      <c r="J37" s="200">
        <v>4.1666666666666664E-2</v>
      </c>
    </row>
    <row r="38" spans="1:10" ht="27.6">
      <c r="A38" s="15">
        <f ca="1">IFERROR(__xludf.DUMMYFUNCTION("""COMPUTED_VALUE"""),163)</f>
        <v>163</v>
      </c>
      <c r="B38" s="21" t="str">
        <f ca="1">IFERROR(__xludf.DUMMYFUNCTION("""COMPUTED_VALUE"""),"Bunlab Team I")</f>
        <v>Bunlab Team I</v>
      </c>
      <c r="C38" s="6" t="str">
        <f ca="1">IFERROR(__xludf.DUMMYFUNCTION("""COMPUTED_VALUE"""),"PSP Polska Nowa Wieś")</f>
        <v>PSP Polska Nowa Wieś</v>
      </c>
      <c r="D38" s="23" t="str">
        <f ca="1">IFERROR(__xludf.DUMMYFUNCTION("""COMPUTED_VALUE"""),"ZŠ (6-15 years)")</f>
        <v>ZŠ (6-15 years)</v>
      </c>
      <c r="E38" s="198">
        <f>MIN(F38:J38)</f>
        <v>7.730324074074075E-4</v>
      </c>
      <c r="F38" s="200">
        <v>1.1224537037037036E-3</v>
      </c>
      <c r="G38" s="200">
        <v>8.278935185185185E-4</v>
      </c>
      <c r="H38" s="200">
        <v>7.730324074074075E-4</v>
      </c>
      <c r="I38" s="200"/>
      <c r="J38" s="200">
        <v>4.1666666666666664E-2</v>
      </c>
    </row>
    <row r="39" spans="1:10" ht="13.8">
      <c r="A39" s="15">
        <f ca="1">IFERROR(__xludf.DUMMYFUNCTION("""COMPUTED_VALUE"""),122)</f>
        <v>122</v>
      </c>
      <c r="B39" s="21" t="str">
        <f ca="1">IFERROR(__xludf.DUMMYFUNCTION("""COMPUTED_VALUE"""),"Boris")</f>
        <v>Boris</v>
      </c>
      <c r="C39" s="6" t="str">
        <f ca="1">IFERROR(__xludf.DUMMYFUNCTION("""COMPUTED_VALUE"""),"Gymnázium Jihlava")</f>
        <v>Gymnázium Jihlava</v>
      </c>
      <c r="D39" s="23" t="str">
        <f ca="1">IFERROR(__xludf.DUMMYFUNCTION("""COMPUTED_VALUE"""),"SŠ")</f>
        <v>SŠ</v>
      </c>
      <c r="E39" s="198">
        <f>MIN(F39:J39)</f>
        <v>7.9976851851851845E-4</v>
      </c>
      <c r="F39" s="202">
        <v>8.3541666666666671E-4</v>
      </c>
      <c r="G39" s="200"/>
      <c r="H39" s="200">
        <v>7.9976851851851845E-4</v>
      </c>
      <c r="I39" s="200"/>
      <c r="J39" s="200">
        <v>4.1666666666666664E-2</v>
      </c>
    </row>
    <row r="40" spans="1:10" ht="27.6">
      <c r="A40" s="34">
        <f ca="1">IFERROR(__xludf.DUMMYFUNCTION("""COMPUTED_VALUE"""),162)</f>
        <v>162</v>
      </c>
      <c r="B40" s="21" t="str">
        <f ca="1">IFERROR(__xludf.DUMMYFUNCTION("""COMPUTED_VALUE"""),"Pejs klan")</f>
        <v>Pejs klan</v>
      </c>
      <c r="C40" s="6" t="str">
        <f ca="1">IFERROR(__xludf.DUMMYFUNCTION("""COMPUTED_VALUE"""),"ZŠ Hustopeče, Komenského")</f>
        <v>ZŠ Hustopeče, Komenského</v>
      </c>
      <c r="D40" s="23" t="str">
        <f ca="1">IFERROR(__xludf.DUMMYFUNCTION("""COMPUTED_VALUE"""),"ZŠ")</f>
        <v>ZŠ</v>
      </c>
      <c r="E40" s="198">
        <f>MIN(F40:J40)</f>
        <v>8.4027777777777768E-4</v>
      </c>
      <c r="F40" s="200"/>
      <c r="G40" s="199">
        <v>8.9236111111111102E-4</v>
      </c>
      <c r="H40" s="199">
        <v>8.4027777777777768E-4</v>
      </c>
      <c r="I40" s="200"/>
      <c r="J40" s="200">
        <v>4.1666666666666664E-2</v>
      </c>
    </row>
    <row r="41" spans="1:10" ht="27.6">
      <c r="A41" s="34">
        <f ca="1">IFERROR(__xludf.DUMMYFUNCTION("""COMPUTED_VALUE"""),124)</f>
        <v>124</v>
      </c>
      <c r="B41" s="21" t="str">
        <f ca="1">IFERROR(__xludf.DUMMYFUNCTION("""COMPUTED_VALUE"""),"GMCT major")</f>
        <v>GMCT major</v>
      </c>
      <c r="C41" s="6" t="str">
        <f ca="1">IFERROR(__xludf.DUMMYFUNCTION("""COMPUTED_VALUE"""),"Gymnázium Josefa Božka Český Těšín")</f>
        <v>Gymnázium Josefa Božka Český Těšín</v>
      </c>
      <c r="D41" s="23" t="str">
        <f ca="1">IFERROR(__xludf.DUMMYFUNCTION("""COMPUTED_VALUE"""),"SŠ")</f>
        <v>SŠ</v>
      </c>
      <c r="E41" s="198">
        <f>MIN(F41:J41)</f>
        <v>8.4490740740740739E-4</v>
      </c>
      <c r="F41" s="203"/>
      <c r="G41" s="199">
        <v>8.4490740740740739E-4</v>
      </c>
      <c r="H41" s="199"/>
      <c r="I41" s="200"/>
      <c r="J41" s="200">
        <v>4.1666666666666664E-2</v>
      </c>
    </row>
    <row r="42" spans="1:10" ht="13.8">
      <c r="A42" s="34">
        <f ca="1">IFERROR(__xludf.DUMMYFUNCTION("""COMPUTED_VALUE"""),42)</f>
        <v>42</v>
      </c>
      <c r="B42" s="21" t="str">
        <f ca="1">IFERROR(__xludf.DUMMYFUNCTION("""COMPUTED_VALUE"""),"Bílý Masaryk")</f>
        <v>Bílý Masaryk</v>
      </c>
      <c r="C42" s="6" t="str">
        <f ca="1">IFERROR(__xludf.DUMMYFUNCTION("""COMPUTED_VALUE"""),"Masarykova ZŠ Plzeň")</f>
        <v>Masarykova ZŠ Plzeň</v>
      </c>
      <c r="D42" s="23" t="str">
        <f ca="1">IFERROR(__xludf.DUMMYFUNCTION("""COMPUTED_VALUE"""),"ZŠ")</f>
        <v>ZŠ</v>
      </c>
      <c r="E42" s="198">
        <f>MIN(F42:J42)</f>
        <v>8.524305555555556E-4</v>
      </c>
      <c r="F42" s="200">
        <v>1.1107638888888888E-3</v>
      </c>
      <c r="G42" s="200">
        <v>8.524305555555556E-4</v>
      </c>
      <c r="H42" s="200"/>
      <c r="I42" s="200"/>
      <c r="J42" s="200">
        <v>4.1666666666666664E-2</v>
      </c>
    </row>
    <row r="43" spans="1:10" ht="13.8">
      <c r="A43" s="15">
        <f ca="1">IFERROR(__xludf.DUMMYFUNCTION("""COMPUTED_VALUE"""),38)</f>
        <v>38</v>
      </c>
      <c r="B43" s="21" t="str">
        <f ca="1">IFERROR(__xludf.DUMMYFUNCTION("""COMPUTED_VALUE"""),"JP")</f>
        <v>JP</v>
      </c>
      <c r="C43" s="6" t="str">
        <f ca="1">IFERROR(__xludf.DUMMYFUNCTION("""COMPUTED_VALUE"""),"Gymnázium Zábřeh")</f>
        <v>Gymnázium Zábřeh</v>
      </c>
      <c r="D43" s="23" t="str">
        <f ca="1">IFERROR(__xludf.DUMMYFUNCTION("""COMPUTED_VALUE"""),"ZŠ")</f>
        <v>ZŠ</v>
      </c>
      <c r="E43" s="198">
        <f>MIN(F43:J43)</f>
        <v>8.7905092592592592E-4</v>
      </c>
      <c r="F43" s="203"/>
      <c r="G43" s="199">
        <v>1.0157407407407409E-3</v>
      </c>
      <c r="H43" s="199">
        <v>8.7905092592592592E-4</v>
      </c>
      <c r="I43" s="200"/>
      <c r="J43" s="200">
        <v>4.1666666666666664E-2</v>
      </c>
    </row>
    <row r="44" spans="1:10" ht="27.6">
      <c r="A44" s="34">
        <f ca="1">IFERROR(__xludf.DUMMYFUNCTION("""COMPUTED_VALUE"""),141)</f>
        <v>141</v>
      </c>
      <c r="B44" s="21" t="str">
        <f ca="1">IFERROR(__xludf.DUMMYFUNCTION("""COMPUTED_VALUE"""),"DELTA")</f>
        <v>DELTA</v>
      </c>
      <c r="C44" s="6" t="str">
        <f ca="1">IFERROR(__xludf.DUMMYFUNCTION("""COMPUTED_VALUE"""),"SPŠ elektrotechnická Prešov")</f>
        <v>SPŠ elektrotechnická Prešov</v>
      </c>
      <c r="D44" s="23" t="str">
        <f ca="1">IFERROR(__xludf.DUMMYFUNCTION("""COMPUTED_VALUE"""),"SŠ")</f>
        <v>SŠ</v>
      </c>
      <c r="E44" s="198">
        <f>MIN(F44:J44)</f>
        <v>8.815972222222222E-4</v>
      </c>
      <c r="F44" s="200"/>
      <c r="G44" s="200"/>
      <c r="H44" s="200">
        <v>8.815972222222222E-4</v>
      </c>
      <c r="I44" s="200"/>
      <c r="J44" s="200">
        <v>4.1666666666666664E-2</v>
      </c>
    </row>
    <row r="45" spans="1:10" ht="13.8">
      <c r="A45" s="34">
        <f ca="1">IFERROR(__xludf.DUMMYFUNCTION("""COMPUTED_VALUE"""),107)</f>
        <v>107</v>
      </c>
      <c r="B45" s="21" t="str">
        <f ca="1">IFERROR(__xludf.DUMMYFUNCTION("""COMPUTED_VALUE"""),"projekt Theodor")</f>
        <v>projekt Theodor</v>
      </c>
      <c r="C45" s="6" t="str">
        <f ca="1">IFERROR(__xludf.DUMMYFUNCTION("""COMPUTED_VALUE"""),"SVČ Opava")</f>
        <v>SVČ Opava</v>
      </c>
      <c r="D45" s="23" t="str">
        <f ca="1">IFERROR(__xludf.DUMMYFUNCTION("""COMPUTED_VALUE"""),"ZŠ")</f>
        <v>ZŠ</v>
      </c>
      <c r="E45" s="198">
        <f>MIN(F45:J45)</f>
        <v>8.9189814814814817E-4</v>
      </c>
      <c r="F45" s="200"/>
      <c r="G45" s="200">
        <v>8.9189814814814817E-4</v>
      </c>
      <c r="H45" s="200"/>
      <c r="I45" s="200"/>
      <c r="J45" s="200">
        <v>4.1666666666666664E-2</v>
      </c>
    </row>
    <row r="46" spans="1:10" ht="27.6">
      <c r="A46" s="15">
        <f ca="1">IFERROR(__xludf.DUMMYFUNCTION("""COMPUTED_VALUE"""),104)</f>
        <v>104</v>
      </c>
      <c r="B46" s="21" t="str">
        <f ca="1">IFERROR(__xludf.DUMMYFUNCTION("""COMPUTED_VALUE"""),"G-skill")</f>
        <v>G-skill</v>
      </c>
      <c r="C46" s="6" t="str">
        <f ca="1">IFERROR(__xludf.DUMMYFUNCTION("""COMPUTED_VALUE"""),"Základní škola, Trutnov, R. Frimla 816")</f>
        <v>Základní škola, Trutnov, R. Frimla 816</v>
      </c>
      <c r="D46" s="23" t="str">
        <f ca="1">IFERROR(__xludf.DUMMYFUNCTION("""COMPUTED_VALUE"""),"ZŠ")</f>
        <v>ZŠ</v>
      </c>
      <c r="E46" s="198">
        <f>MIN(F46:J46)</f>
        <v>9.5555555555555563E-4</v>
      </c>
      <c r="F46" s="203"/>
      <c r="G46" s="199"/>
      <c r="H46" s="199">
        <v>9.5555555555555563E-4</v>
      </c>
      <c r="I46" s="200"/>
      <c r="J46" s="200">
        <v>4.1666666666666664E-2</v>
      </c>
    </row>
    <row r="47" spans="1:10" ht="13.8">
      <c r="A47" s="34">
        <f ca="1">IFERROR(__xludf.DUMMYFUNCTION("""COMPUTED_VALUE"""),116)</f>
        <v>116</v>
      </c>
      <c r="B47" s="21" t="str">
        <f ca="1">IFERROR(__xludf.DUMMYFUNCTION("""COMPUTED_VALUE"""),"Robokrug")</f>
        <v>Robokrug</v>
      </c>
      <c r="C47" s="6" t="str">
        <f ca="1">IFERROR(__xludf.DUMMYFUNCTION("""COMPUTED_VALUE"""),"DDM Ostrava Poruba ")</f>
        <v xml:space="preserve">DDM Ostrava Poruba </v>
      </c>
      <c r="D47" s="23" t="str">
        <f ca="1">IFERROR(__xludf.DUMMYFUNCTION("""COMPUTED_VALUE"""),"ZŠ")</f>
        <v>ZŠ</v>
      </c>
      <c r="E47" s="198">
        <f>MIN(F47:J47)</f>
        <v>9.6574074074074075E-4</v>
      </c>
      <c r="F47" s="200"/>
      <c r="G47" s="200">
        <v>1.3813657407407407E-3</v>
      </c>
      <c r="H47" s="200">
        <v>9.6574074074074075E-4</v>
      </c>
      <c r="I47" s="200"/>
      <c r="J47" s="200">
        <v>4.1666666666666664E-2</v>
      </c>
    </row>
    <row r="48" spans="1:10" ht="27.6">
      <c r="A48" s="34">
        <f ca="1">IFERROR(__xludf.DUMMYFUNCTION("""COMPUTED_VALUE"""),167)</f>
        <v>167</v>
      </c>
      <c r="B48" s="21" t="str">
        <f ca="1">IFERROR(__xludf.DUMMYFUNCTION("""COMPUTED_VALUE"""),"Bunlab Team V")</f>
        <v>Bunlab Team V</v>
      </c>
      <c r="C48" s="6" t="str">
        <f ca="1">IFERROR(__xludf.DUMMYFUNCTION("""COMPUTED_VALUE"""),"PSP Nasza Szkola")</f>
        <v>PSP Nasza Szkola</v>
      </c>
      <c r="D48" s="23" t="str">
        <f ca="1">IFERROR(__xludf.DUMMYFUNCTION("""COMPUTED_VALUE"""),"ZŠ (6-15 years)")</f>
        <v>ZŠ (6-15 years)</v>
      </c>
      <c r="E48" s="198">
        <f>MIN(F48:J48)</f>
        <v>9.6863425925925925E-4</v>
      </c>
      <c r="F48" s="200"/>
      <c r="G48" s="200">
        <v>9.6863425925925925E-4</v>
      </c>
      <c r="H48" s="200">
        <v>9.7893518518518512E-4</v>
      </c>
      <c r="I48" s="200"/>
      <c r="J48" s="200">
        <v>4.1666666666666664E-2</v>
      </c>
    </row>
    <row r="49" spans="1:10" ht="27.6">
      <c r="A49" s="34">
        <f ca="1">IFERROR(__xludf.DUMMYFUNCTION("""COMPUTED_VALUE"""),96)</f>
        <v>96</v>
      </c>
      <c r="B49" s="21" t="str">
        <f ca="1">IFERROR(__xludf.DUMMYFUNCTION("""COMPUTED_VALUE"""),"Darth Bot")</f>
        <v>Darth Bot</v>
      </c>
      <c r="C49" s="6" t="str">
        <f ca="1">IFERROR(__xludf.DUMMYFUNCTION("""COMPUTED_VALUE"""),"The Benders - Amavet klub robotiky 958")</f>
        <v>The Benders - Amavet klub robotiky 958</v>
      </c>
      <c r="D49" s="23" t="str">
        <f ca="1">IFERROR(__xludf.DUMMYFUNCTION("""COMPUTED_VALUE"""),"SŠ")</f>
        <v>SŠ</v>
      </c>
      <c r="E49" s="198">
        <f>MIN(F49:J49)</f>
        <v>9.9340277777777773E-4</v>
      </c>
      <c r="F49" s="200"/>
      <c r="G49" s="200">
        <v>9.9340277777777773E-4</v>
      </c>
      <c r="H49" s="200"/>
      <c r="I49" s="200"/>
      <c r="J49" s="200">
        <v>4.1666666666666664E-2</v>
      </c>
    </row>
    <row r="50" spans="1:10" ht="13.8">
      <c r="A50" s="34">
        <f ca="1">IFERROR(__xludf.DUMMYFUNCTION("""COMPUTED_VALUE"""),88)</f>
        <v>88</v>
      </c>
      <c r="B50" s="21" t="str">
        <f ca="1">IFERROR(__xludf.DUMMYFUNCTION("""COMPUTED_VALUE"""),"TAJM")</f>
        <v>TAJM</v>
      </c>
      <c r="C50" s="6" t="str">
        <f ca="1">IFERROR(__xludf.DUMMYFUNCTION("""COMPUTED_VALUE"""),"ZŠ s MŠ Podolie")</f>
        <v>ZŠ s MŠ Podolie</v>
      </c>
      <c r="D50" s="23" t="str">
        <f ca="1">IFERROR(__xludf.DUMMYFUNCTION("""COMPUTED_VALUE"""),"ZŠ")</f>
        <v>ZŠ</v>
      </c>
      <c r="E50" s="198">
        <f>MIN(F50:J50)</f>
        <v>1.0262731481481481E-3</v>
      </c>
      <c r="F50" s="200">
        <v>1.0262731481481481E-3</v>
      </c>
      <c r="G50" s="200">
        <v>1.3158564814814814E-3</v>
      </c>
      <c r="H50" s="201"/>
      <c r="I50" s="200"/>
      <c r="J50" s="200">
        <v>4.1666666666666664E-2</v>
      </c>
    </row>
    <row r="51" spans="1:10" ht="13.8">
      <c r="A51" s="34">
        <f ca="1">IFERROR(__xludf.DUMMYFUNCTION("query(Data,""select A,D,C,Y where Z = TRUE"")"),1)</f>
        <v>1</v>
      </c>
      <c r="B51" s="21" t="str">
        <f ca="1">IFERROR(__xludf.DUMMYFUNCTION("""COMPUTED_VALUE"""),"Sirotci")</f>
        <v>Sirotci</v>
      </c>
      <c r="C51" s="6" t="str">
        <f ca="1">IFERROR(__xludf.DUMMYFUNCTION("""COMPUTED_VALUE"""),"ZŠ Sirotkova Brno")</f>
        <v>ZŠ Sirotkova Brno</v>
      </c>
      <c r="D51" s="23" t="str">
        <f ca="1">IFERROR(__xludf.DUMMYFUNCTION("""COMPUTED_VALUE"""),"ZŠ")</f>
        <v>ZŠ</v>
      </c>
      <c r="E51" s="198">
        <f>MIN(F51:J51)</f>
        <v>1.0292824074074076E-3</v>
      </c>
      <c r="F51" s="199"/>
      <c r="G51" s="199">
        <v>1.346875E-3</v>
      </c>
      <c r="H51" s="199">
        <v>1.0292824074074076E-3</v>
      </c>
      <c r="I51" s="200"/>
      <c r="J51" s="200">
        <v>4.1666666666666664E-2</v>
      </c>
    </row>
    <row r="52" spans="1:10" ht="13.8">
      <c r="A52" s="34">
        <f ca="1">IFERROR(__xludf.DUMMYFUNCTION("""COMPUTED_VALUE"""),3)</f>
        <v>3</v>
      </c>
      <c r="B52" s="21" t="str">
        <f ca="1">IFERROR(__xludf.DUMMYFUNCTION("""COMPUTED_VALUE"""),"Démáci")</f>
        <v>Démáci</v>
      </c>
      <c r="C52" s="6" t="str">
        <f ca="1">IFERROR(__xludf.DUMMYFUNCTION("""COMPUTED_VALUE"""),"DDM Uničov")</f>
        <v>DDM Uničov</v>
      </c>
      <c r="D52" s="23" t="str">
        <f ca="1">IFERROR(__xludf.DUMMYFUNCTION("""COMPUTED_VALUE"""),"ZŠ")</f>
        <v>ZŠ</v>
      </c>
      <c r="E52" s="198">
        <f>MIN(F52:J52)</f>
        <v>1.0523148148148147E-3</v>
      </c>
      <c r="F52" s="200"/>
      <c r="G52" s="199">
        <v>1.0523148148148147E-3</v>
      </c>
      <c r="H52" s="200"/>
      <c r="I52" s="200"/>
      <c r="J52" s="200">
        <v>4.1666666666666664E-2</v>
      </c>
    </row>
    <row r="53" spans="1:10" ht="27.6">
      <c r="A53" s="15">
        <f ca="1">IFERROR(__xludf.DUMMYFUNCTION("""COMPUTED_VALUE"""),154)</f>
        <v>154</v>
      </c>
      <c r="B53" s="21" t="str">
        <f ca="1">IFERROR(__xludf.DUMMYFUNCTION("""COMPUTED_VALUE"""),"PVD Crew")</f>
        <v>PVD Crew</v>
      </c>
      <c r="C53" s="6" t="str">
        <f ca="1">IFERROR(__xludf.DUMMYFUNCTION("""COMPUTED_VALUE"""),"Wichterlovo gymnázium, Ostrava-Poruba")</f>
        <v>Wichterlovo gymnázium, Ostrava-Poruba</v>
      </c>
      <c r="D53" s="23" t="str">
        <f ca="1">IFERROR(__xludf.DUMMYFUNCTION("""COMPUTED_VALUE"""),"ZŠ")</f>
        <v>ZŠ</v>
      </c>
      <c r="E53" s="198">
        <f>MIN(F53:J53)</f>
        <v>1.0526620370370371E-3</v>
      </c>
      <c r="F53" s="200"/>
      <c r="G53" s="199">
        <v>1.1300925925925927E-3</v>
      </c>
      <c r="H53" s="199">
        <v>1.0526620370370371E-3</v>
      </c>
      <c r="I53" s="200"/>
      <c r="J53" s="200">
        <v>4.1666666666666664E-2</v>
      </c>
    </row>
    <row r="54" spans="1:10" ht="27.6">
      <c r="A54" s="34">
        <f ca="1">IFERROR(__xludf.DUMMYFUNCTION("""COMPUTED_VALUE"""),61)</f>
        <v>61</v>
      </c>
      <c r="B54" s="21" t="str">
        <f ca="1">IFERROR(__xludf.DUMMYFUNCTION("""COMPUTED_VALUE"""),"TD")</f>
        <v>TD</v>
      </c>
      <c r="C54" s="6" t="str">
        <f ca="1">IFERROR(__xludf.DUMMYFUNCTION("""COMPUTED_VALUE"""),"Katolícka spojená škola Banská Štiavnica")</f>
        <v>Katolícka spojená škola Banská Štiavnica</v>
      </c>
      <c r="D54" s="23" t="str">
        <f ca="1">IFERROR(__xludf.DUMMYFUNCTION("""COMPUTED_VALUE"""),"ZŠ")</f>
        <v>ZŠ</v>
      </c>
      <c r="E54" s="198">
        <f>MIN(F54:J54)</f>
        <v>1.0567129629629629E-3</v>
      </c>
      <c r="F54" s="199">
        <v>1.0726851851851852E-3</v>
      </c>
      <c r="G54" s="199">
        <v>1.0567129629629629E-3</v>
      </c>
      <c r="H54" s="199">
        <v>1.1635416666666667E-3</v>
      </c>
      <c r="I54" s="200"/>
      <c r="J54" s="200">
        <v>4.1666666666666664E-2</v>
      </c>
    </row>
    <row r="55" spans="1:10" ht="13.8">
      <c r="A55" s="34">
        <f ca="1">IFERROR(__xludf.DUMMYFUNCTION("""COMPUTED_VALUE"""),2)</f>
        <v>2</v>
      </c>
      <c r="B55" s="21" t="str">
        <f ca="1">IFERROR(__xludf.DUMMYFUNCTION("""COMPUTED_VALUE"""),"Sirotci2")</f>
        <v>Sirotci2</v>
      </c>
      <c r="C55" s="6" t="str">
        <f ca="1">IFERROR(__xludf.DUMMYFUNCTION("""COMPUTED_VALUE"""),"ZŠ Sirotkova Brno")</f>
        <v>ZŠ Sirotkova Brno</v>
      </c>
      <c r="D55" s="23" t="str">
        <f ca="1">IFERROR(__xludf.DUMMYFUNCTION("""COMPUTED_VALUE"""),"ZŠ")</f>
        <v>ZŠ</v>
      </c>
      <c r="E55" s="198">
        <f>MIN(F55:J55)</f>
        <v>1.0728009259259258E-3</v>
      </c>
      <c r="F55" s="200"/>
      <c r="G55" s="199">
        <v>1.0728009259259258E-3</v>
      </c>
      <c r="H55" s="200"/>
      <c r="I55" s="200"/>
      <c r="J55" s="200">
        <v>4.1666666666666664E-2</v>
      </c>
    </row>
    <row r="56" spans="1:10" ht="27.6">
      <c r="A56" s="15">
        <f ca="1">IFERROR(__xludf.DUMMYFUNCTION("""COMPUTED_VALUE"""),175)</f>
        <v>175</v>
      </c>
      <c r="B56" s="21" t="str">
        <f ca="1">IFERROR(__xludf.DUMMYFUNCTION("""COMPUTED_VALUE"""),"Los Brikulos")</f>
        <v>Los Brikulos</v>
      </c>
      <c r="C56" s="6" t="str">
        <f ca="1">IFERROR(__xludf.DUMMYFUNCTION("""COMPUTED_VALUE"""),"Gymnázium Jiřího Ortena Kutná Hora")</f>
        <v>Gymnázium Jiřího Ortena Kutná Hora</v>
      </c>
      <c r="D56" s="23" t="str">
        <f ca="1">IFERROR(__xludf.DUMMYFUNCTION("""COMPUTED_VALUE"""),"SŠ")</f>
        <v>SŠ</v>
      </c>
      <c r="E56" s="198">
        <f>MIN(F56:J56)</f>
        <v>1.0848379629629628E-3</v>
      </c>
      <c r="F56" s="200"/>
      <c r="G56" s="200">
        <v>1.0848379629629628E-3</v>
      </c>
      <c r="H56" s="200">
        <v>1.1466435185185184E-3</v>
      </c>
      <c r="I56" s="200"/>
      <c r="J56" s="200">
        <v>4.1666666666666664E-2</v>
      </c>
    </row>
    <row r="57" spans="1:10" ht="27.6">
      <c r="A57" s="15">
        <f ca="1">IFERROR(__xludf.DUMMYFUNCTION("""COMPUTED_VALUE"""),136)</f>
        <v>136</v>
      </c>
      <c r="B57" s="21" t="str">
        <f ca="1">IFERROR(__xludf.DUMMYFUNCTION("""COMPUTED_VALUE"""),"RoBookWorms")</f>
        <v>RoBookWorms</v>
      </c>
      <c r="C57" s="6" t="str">
        <f ca="1">IFERROR(__xludf.DUMMYFUNCTION("""COMPUTED_VALUE"""),"Městská knihovna Česká Třebová")</f>
        <v>Městská knihovna Česká Třebová</v>
      </c>
      <c r="D57" s="23" t="str">
        <f ca="1">IFERROR(__xludf.DUMMYFUNCTION("""COMPUTED_VALUE"""),"ZŠ")</f>
        <v>ZŠ</v>
      </c>
      <c r="E57" s="198">
        <f>MIN(F57:J57)</f>
        <v>1.0980324074074074E-3</v>
      </c>
      <c r="F57" s="200"/>
      <c r="G57" s="200"/>
      <c r="H57" s="200">
        <v>1.0980324074074074E-3</v>
      </c>
      <c r="I57" s="200"/>
      <c r="J57" s="200">
        <v>4.1666666666666664E-2</v>
      </c>
    </row>
    <row r="58" spans="1:10" ht="27.6">
      <c r="A58" s="34">
        <f ca="1">IFERROR(__xludf.DUMMYFUNCTION("""COMPUTED_VALUE"""),165)</f>
        <v>165</v>
      </c>
      <c r="B58" s="21" t="str">
        <f ca="1">IFERROR(__xludf.DUMMYFUNCTION("""COMPUTED_VALUE"""),"Bunlab Team III")</f>
        <v>Bunlab Team III</v>
      </c>
      <c r="C58" s="6" t="str">
        <f ca="1">IFERROR(__xludf.DUMMYFUNCTION("""COMPUTED_VALUE"""),"TAK im. Ireny Sendlerowej Opole")</f>
        <v>TAK im. Ireny Sendlerowej Opole</v>
      </c>
      <c r="D58" s="23" t="str">
        <f ca="1">IFERROR(__xludf.DUMMYFUNCTION("""COMPUTED_VALUE"""),"ZŠ (6-15 years)")</f>
        <v>ZŠ (6-15 years)</v>
      </c>
      <c r="E58" s="198">
        <f>MIN(F58:J58)</f>
        <v>1.0983796296296297E-3</v>
      </c>
      <c r="F58" s="200"/>
      <c r="G58" s="200">
        <v>1.163425925925926E-3</v>
      </c>
      <c r="H58" s="200">
        <v>1.0983796296296297E-3</v>
      </c>
      <c r="I58" s="200"/>
      <c r="J58" s="200">
        <v>4.1666666666666664E-2</v>
      </c>
    </row>
    <row r="59" spans="1:10" ht="27.6">
      <c r="A59" s="34">
        <f ca="1">IFERROR(__xludf.DUMMYFUNCTION("""COMPUTED_VALUE"""),12)</f>
        <v>12</v>
      </c>
      <c r="B59" s="21" t="str">
        <f ca="1">IFERROR(__xludf.DUMMYFUNCTION("""COMPUTED_VALUE"""),"Robo orange")</f>
        <v>Robo orange</v>
      </c>
      <c r="C59" s="6" t="str">
        <f ca="1">IFERROR(__xludf.DUMMYFUNCTION("""COMPUTED_VALUE"""),"Gymnázium Brno, Vídeňská")</f>
        <v>Gymnázium Brno, Vídeňská</v>
      </c>
      <c r="D59" s="23" t="str">
        <f ca="1">IFERROR(__xludf.DUMMYFUNCTION("""COMPUTED_VALUE"""),"ZŠ")</f>
        <v>ZŠ</v>
      </c>
      <c r="E59" s="198">
        <f>MIN(F59:J59)</f>
        <v>1.1405092592592591E-3</v>
      </c>
      <c r="F59" s="200"/>
      <c r="G59" s="200"/>
      <c r="H59" s="200">
        <v>1.1405092592592591E-3</v>
      </c>
      <c r="I59" s="200"/>
      <c r="J59" s="200">
        <v>4.1666666666666664E-2</v>
      </c>
    </row>
    <row r="60" spans="1:10" ht="13.8">
      <c r="A60" s="34">
        <f ca="1">IFERROR(__xludf.DUMMYFUNCTION("""COMPUTED_VALUE"""),51)</f>
        <v>51</v>
      </c>
      <c r="B60" s="21" t="str">
        <f ca="1">IFERROR(__xludf.DUMMYFUNCTION("""COMPUTED_VALUE"""),"Elektronky z Vrchlabí")</f>
        <v>Elektronky z Vrchlabí</v>
      </c>
      <c r="C60" s="6" t="str">
        <f ca="1">IFERROR(__xludf.DUMMYFUNCTION("""COMPUTED_VALUE"""),"ZŠ Školní Vrchlabí")</f>
        <v>ZŠ Školní Vrchlabí</v>
      </c>
      <c r="D60" s="23" t="str">
        <f ca="1">IFERROR(__xludf.DUMMYFUNCTION("""COMPUTED_VALUE"""),"ZŠ")</f>
        <v>ZŠ</v>
      </c>
      <c r="E60" s="198">
        <f>MIN(F60:J60)</f>
        <v>1.1681712962962963E-3</v>
      </c>
      <c r="F60" s="201"/>
      <c r="G60" s="199">
        <v>1.1687499999999999E-3</v>
      </c>
      <c r="H60" s="199">
        <v>1.1681712962962963E-3</v>
      </c>
      <c r="I60" s="200"/>
      <c r="J60" s="200">
        <v>4.1666666666666664E-2</v>
      </c>
    </row>
    <row r="61" spans="1:10" ht="27.6">
      <c r="A61" s="34">
        <f ca="1">IFERROR(__xludf.DUMMYFUNCTION("""COMPUTED_VALUE"""),100)</f>
        <v>100</v>
      </c>
      <c r="B61" s="21" t="str">
        <f ca="1">IFERROR(__xludf.DUMMYFUNCTION("""COMPUTED_VALUE"""),"Gymstr1A")</f>
        <v>Gymstr1A</v>
      </c>
      <c r="C61" s="6" t="str">
        <f ca="1">IFERROR(__xludf.DUMMYFUNCTION("""COMPUTED_VALUE"""),"Gymnázium, Strakonice, Máchova 174")</f>
        <v>Gymnázium, Strakonice, Máchova 174</v>
      </c>
      <c r="D61" s="23" t="str">
        <f ca="1">IFERROR(__xludf.DUMMYFUNCTION("""COMPUTED_VALUE"""),"SŠ")</f>
        <v>SŠ</v>
      </c>
      <c r="E61" s="198">
        <f>MIN(F61:J61)</f>
        <v>1.1833333333333335E-3</v>
      </c>
      <c r="F61" s="203"/>
      <c r="G61" s="199"/>
      <c r="H61" s="199">
        <v>1.1833333333333335E-3</v>
      </c>
      <c r="I61" s="200"/>
      <c r="J61" s="200">
        <v>4.1666666666666664E-2</v>
      </c>
    </row>
    <row r="62" spans="1:10" ht="13.8">
      <c r="A62" s="15">
        <f ca="1">IFERROR(__xludf.DUMMYFUNCTION("""COMPUTED_VALUE"""),50)</f>
        <v>50</v>
      </c>
      <c r="B62" s="21" t="str">
        <f ca="1">IFERROR(__xludf.DUMMYFUNCTION("""COMPUTED_VALUE"""),"Lišáci z Vrchlabí")</f>
        <v>Lišáci z Vrchlabí</v>
      </c>
      <c r="C62" s="6" t="str">
        <f ca="1">IFERROR(__xludf.DUMMYFUNCTION("""COMPUTED_VALUE"""),"ZŠ Školní Vrchlabí")</f>
        <v>ZŠ Školní Vrchlabí</v>
      </c>
      <c r="D62" s="23" t="str">
        <f ca="1">IFERROR(__xludf.DUMMYFUNCTION("""COMPUTED_VALUE"""),"ZŠ")</f>
        <v>ZŠ</v>
      </c>
      <c r="E62" s="198">
        <f>MIN(F62:J62)</f>
        <v>1.2393518518518517E-3</v>
      </c>
      <c r="F62" s="202"/>
      <c r="G62" s="200">
        <v>1.2506944444444445E-3</v>
      </c>
      <c r="H62" s="200">
        <v>1.2393518518518517E-3</v>
      </c>
      <c r="I62" s="200"/>
      <c r="J62" s="200">
        <v>4.1666666666666664E-2</v>
      </c>
    </row>
    <row r="63" spans="1:10" ht="27.6">
      <c r="A63" s="15">
        <f ca="1">IFERROR(__xludf.DUMMYFUNCTION("""COMPUTED_VALUE"""),145)</f>
        <v>145</v>
      </c>
      <c r="B63" s="21" t="str">
        <f ca="1">IFERROR(__xludf.DUMMYFUNCTION("""COMPUTED_VALUE"""),"Yeeters")</f>
        <v>Yeeters</v>
      </c>
      <c r="C63" s="6" t="str">
        <f ca="1">IFERROR(__xludf.DUMMYFUNCTION("""COMPUTED_VALUE"""),"SPŠ Rakovník Emila Kolbena")</f>
        <v>SPŠ Rakovník Emila Kolbena</v>
      </c>
      <c r="D63" s="23" t="str">
        <f ca="1">IFERROR(__xludf.DUMMYFUNCTION("""COMPUTED_VALUE"""),"SŠ")</f>
        <v>SŠ</v>
      </c>
      <c r="E63" s="198">
        <f>MIN(F63:J63)</f>
        <v>1.2517361111111112E-3</v>
      </c>
      <c r="F63" s="199">
        <v>1.2517361111111112E-3</v>
      </c>
      <c r="G63" s="199"/>
      <c r="H63" s="199">
        <v>1.2608796296296296E-3</v>
      </c>
      <c r="I63" s="200"/>
      <c r="J63" s="200">
        <v>4.1666666666666664E-2</v>
      </c>
    </row>
    <row r="64" spans="1:10" ht="27.6">
      <c r="A64" s="15">
        <f ca="1">IFERROR(__xludf.DUMMYFUNCTION("""COMPUTED_VALUE"""),78)</f>
        <v>78</v>
      </c>
      <c r="B64" s="21" t="str">
        <f ca="1">IFERROR(__xludf.DUMMYFUNCTION("""COMPUTED_VALUE"""),"Tým 6")</f>
        <v>Tým 6</v>
      </c>
      <c r="C64" s="6" t="str">
        <f ca="1">IFERROR(__xludf.DUMMYFUNCTION("""COMPUTED_VALUE"""),"Jiráskovo gymnázium Náchod")</f>
        <v>Jiráskovo gymnázium Náchod</v>
      </c>
      <c r="D64" s="23" t="str">
        <f ca="1">IFERROR(__xludf.DUMMYFUNCTION("""COMPUTED_VALUE"""),"SŠ")</f>
        <v>SŠ</v>
      </c>
      <c r="E64" s="198">
        <f>MIN(F64:J64)</f>
        <v>1.3310185185185185E-3</v>
      </c>
      <c r="F64" s="199"/>
      <c r="G64" s="199">
        <v>1.3310185185185185E-3</v>
      </c>
      <c r="H64" s="201"/>
      <c r="I64" s="200"/>
      <c r="J64" s="200">
        <v>4.1666666666666664E-2</v>
      </c>
    </row>
    <row r="65" spans="1:10" ht="13.8">
      <c r="A65" s="15">
        <f ca="1">IFERROR(__xludf.DUMMYFUNCTION("""COMPUTED_VALUE"""),143)</f>
        <v>143</v>
      </c>
      <c r="B65" s="21" t="str">
        <f ca="1">IFERROR(__xludf.DUMMYFUNCTION("""COMPUTED_VALUE"""),"Jazdaa")</f>
        <v>Jazdaa</v>
      </c>
      <c r="C65" s="6" t="str">
        <f ca="1">IFERROR(__xludf.DUMMYFUNCTION("""COMPUTED_VALUE"""),"SPŠ Prosek")</f>
        <v>SPŠ Prosek</v>
      </c>
      <c r="D65" s="23" t="str">
        <f ca="1">IFERROR(__xludf.DUMMYFUNCTION("""COMPUTED_VALUE"""),"SŠ")</f>
        <v>SŠ</v>
      </c>
      <c r="E65" s="198">
        <f>MIN(F65:J65)</f>
        <v>1.3356481481481483E-3</v>
      </c>
      <c r="F65" s="200">
        <v>1.3356481481481483E-3</v>
      </c>
      <c r="G65" s="200">
        <v>1.3442129629629631E-3</v>
      </c>
      <c r="H65" s="199" t="s">
        <v>25</v>
      </c>
      <c r="I65" s="200"/>
      <c r="J65" s="200">
        <v>4.1666666666666664E-2</v>
      </c>
    </row>
    <row r="66" spans="1:10" ht="27.6">
      <c r="A66" s="15">
        <f ca="1">IFERROR(__xludf.DUMMYFUNCTION("""COMPUTED_VALUE"""),111)</f>
        <v>111</v>
      </c>
      <c r="B66" s="21" t="str">
        <f ca="1">IFERROR(__xludf.DUMMYFUNCTION("""COMPUTED_VALUE"""),"Čočkoboti")</f>
        <v>Čočkoboti</v>
      </c>
      <c r="C66" s="6" t="str">
        <f ca="1">IFERROR(__xludf.DUMMYFUNCTION("""COMPUTED_VALUE"""),"Biskupské gymnázium Hradec Králové")</f>
        <v>Biskupské gymnázium Hradec Králové</v>
      </c>
      <c r="D66" s="23" t="str">
        <f ca="1">IFERROR(__xludf.DUMMYFUNCTION("""COMPUTED_VALUE"""),"ZŠ")</f>
        <v>ZŠ</v>
      </c>
      <c r="E66" s="198">
        <f>MIN(F66:J66)</f>
        <v>1.3990740740740741E-3</v>
      </c>
      <c r="F66" s="200"/>
      <c r="G66" s="200"/>
      <c r="H66" s="199">
        <v>1.3990740740740741E-3</v>
      </c>
      <c r="I66" s="200"/>
      <c r="J66" s="200">
        <v>4.1666666666666664E-2</v>
      </c>
    </row>
    <row r="67" spans="1:10" ht="13.8">
      <c r="A67" s="15">
        <f ca="1">IFERROR(__xludf.DUMMYFUNCTION("""COMPUTED_VALUE"""),142)</f>
        <v>142</v>
      </c>
      <c r="B67" s="21" t="str">
        <f ca="1">IFERROR(__xludf.DUMMYFUNCTION("""COMPUTED_VALUE"""),"M.O.K.O")</f>
        <v>M.O.K.O</v>
      </c>
      <c r="C67" s="6" t="str">
        <f ca="1">IFERROR(__xludf.DUMMYFUNCTION("""COMPUTED_VALUE"""),"SPŠ Karviná")</f>
        <v>SPŠ Karviná</v>
      </c>
      <c r="D67" s="23" t="str">
        <f ca="1">IFERROR(__xludf.DUMMYFUNCTION("""COMPUTED_VALUE"""),"SŠ")</f>
        <v>SŠ</v>
      </c>
      <c r="E67" s="198">
        <f>MIN(F67:J67)</f>
        <v>1.5273148148148149E-3</v>
      </c>
      <c r="F67" s="199">
        <v>1.5273148148148149E-3</v>
      </c>
      <c r="G67" s="199">
        <v>1.6550925925925926E-3</v>
      </c>
      <c r="H67" s="199"/>
      <c r="I67" s="200"/>
      <c r="J67" s="200">
        <v>4.1666666666666664E-2</v>
      </c>
    </row>
    <row r="68" spans="1:10" ht="13.8">
      <c r="A68" s="34">
        <f ca="1">IFERROR(__xludf.DUMMYFUNCTION("""COMPUTED_VALUE"""),4)</f>
        <v>4</v>
      </c>
      <c r="B68" s="21" t="str">
        <f ca="1">IFERROR(__xludf.DUMMYFUNCTION("""COMPUTED_VALUE"""),"Tulák")</f>
        <v>Tulák</v>
      </c>
      <c r="C68" s="6" t="str">
        <f ca="1">IFERROR(__xludf.DUMMYFUNCTION("""COMPUTED_VALUE"""),"KTIV PdF UP Olomouc")</f>
        <v>KTIV PdF UP Olomouc</v>
      </c>
      <c r="D68" s="23" t="str">
        <f ca="1">IFERROR(__xludf.DUMMYFUNCTION("""COMPUTED_VALUE"""),"ZŠ")</f>
        <v>ZŠ</v>
      </c>
      <c r="E68" s="198">
        <f>MIN(F68:J68)</f>
        <v>4.1666666666666664E-2</v>
      </c>
      <c r="F68" s="200"/>
      <c r="G68" s="199"/>
      <c r="H68" s="200"/>
      <c r="I68" s="200"/>
      <c r="J68" s="200">
        <v>4.1666666666666664E-2</v>
      </c>
    </row>
    <row r="69" spans="1:10" ht="13.8">
      <c r="A69" s="34">
        <f ca="1">IFERROR(__xludf.DUMMYFUNCTION("""COMPUTED_VALUE"""),6)</f>
        <v>6</v>
      </c>
      <c r="B69" s="21" t="str">
        <f ca="1">IFERROR(__xludf.DUMMYFUNCTION("""COMPUTED_VALUE"""),"Barborka")</f>
        <v>Barborka</v>
      </c>
      <c r="C69" s="6" t="str">
        <f ca="1">IFERROR(__xludf.DUMMYFUNCTION("""COMPUTED_VALUE"""),"KTIV PdF UP Olomouc")</f>
        <v>KTIV PdF UP Olomouc</v>
      </c>
      <c r="D69" s="23" t="str">
        <f ca="1">IFERROR(__xludf.DUMMYFUNCTION("""COMPUTED_VALUE"""),"ZŠ")</f>
        <v>ZŠ</v>
      </c>
      <c r="E69" s="198">
        <f>MIN(F69:J69)</f>
        <v>4.1666666666666664E-2</v>
      </c>
      <c r="F69" s="199"/>
      <c r="G69" s="201"/>
      <c r="H69" s="199"/>
      <c r="I69" s="200"/>
      <c r="J69" s="200">
        <v>4.1666666666666664E-2</v>
      </c>
    </row>
    <row r="70" spans="1:10" ht="27.6">
      <c r="A70" s="34">
        <f ca="1">IFERROR(__xludf.DUMMYFUNCTION("""COMPUTED_VALUE"""),7)</f>
        <v>7</v>
      </c>
      <c r="B70" s="21" t="str">
        <f ca="1">IFERROR(__xludf.DUMMYFUNCTION("""COMPUTED_VALUE"""),"PVGŠ")</f>
        <v>PVGŠ</v>
      </c>
      <c r="C70" s="6" t="str">
        <f ca="1">IFERROR(__xludf.DUMMYFUNCTION("""COMPUTED_VALUE"""),"Gymnázium a ZUŠ Šlapanice")</f>
        <v>Gymnázium a ZUŠ Šlapanice</v>
      </c>
      <c r="D70" s="23" t="str">
        <f ca="1">IFERROR(__xludf.DUMMYFUNCTION("""COMPUTED_VALUE"""),"ZŠ")</f>
        <v>ZŠ</v>
      </c>
      <c r="E70" s="198">
        <f>MIN(F70:J70)</f>
        <v>4.1666666666666664E-2</v>
      </c>
      <c r="F70" s="199"/>
      <c r="G70" s="199"/>
      <c r="H70" s="199"/>
      <c r="I70" s="200"/>
      <c r="J70" s="200">
        <v>4.1666666666666664E-2</v>
      </c>
    </row>
    <row r="71" spans="1:10" ht="27.6">
      <c r="A71" s="34">
        <f ca="1">IFERROR(__xludf.DUMMYFUNCTION("""COMPUTED_VALUE"""),26)</f>
        <v>26</v>
      </c>
      <c r="B71" s="21" t="str">
        <f ca="1">IFERROR(__xludf.DUMMYFUNCTION("""COMPUTED_VALUE"""),"Pupinteam")</f>
        <v>Pupinteam</v>
      </c>
      <c r="C71" s="6" t="str">
        <f ca="1">IFERROR(__xludf.DUMMYFUNCTION("""COMPUTED_VALUE"""),"Robotárna DDM Helceletova Brno")</f>
        <v>Robotárna DDM Helceletova Brno</v>
      </c>
      <c r="D71" s="23" t="str">
        <f ca="1">IFERROR(__xludf.DUMMYFUNCTION("""COMPUTED_VALUE"""),"ZŠ")</f>
        <v>ZŠ</v>
      </c>
      <c r="E71" s="198">
        <f>MIN(F71:J71)</f>
        <v>4.1666666666666664E-2</v>
      </c>
      <c r="F71" s="200"/>
      <c r="G71" s="200"/>
      <c r="H71" s="200"/>
      <c r="I71" s="200"/>
      <c r="J71" s="200">
        <v>4.1666666666666664E-2</v>
      </c>
    </row>
    <row r="72" spans="1:10" ht="13.8">
      <c r="A72" s="34">
        <f ca="1">IFERROR(__xludf.DUMMYFUNCTION("""COMPUTED_VALUE"""),32)</f>
        <v>32</v>
      </c>
      <c r="B72" s="21" t="str">
        <f ca="1">IFERROR(__xludf.DUMMYFUNCTION("""COMPUTED_VALUE"""),"AdaBots")</f>
        <v>AdaBots</v>
      </c>
      <c r="C72" s="6" t="str">
        <f ca="1">IFERROR(__xludf.DUMMYFUNCTION("""COMPUTED_VALUE"""),"rodinný tým")</f>
        <v>rodinný tým</v>
      </c>
      <c r="D72" s="23" t="str">
        <f ca="1">IFERROR(__xludf.DUMMYFUNCTION("""COMPUTED_VALUE"""),"ZŠ")</f>
        <v>ZŠ</v>
      </c>
      <c r="E72" s="198">
        <f>MIN(F72:J72)</f>
        <v>4.1666666666666664E-2</v>
      </c>
      <c r="F72" s="200"/>
      <c r="G72" s="200"/>
      <c r="H72" s="200"/>
      <c r="I72" s="200"/>
      <c r="J72" s="200">
        <v>4.1666666666666664E-2</v>
      </c>
    </row>
    <row r="73" spans="1:10" ht="41.4">
      <c r="A73" s="34">
        <f ca="1">IFERROR(__xludf.DUMMYFUNCTION("""COMPUTED_VALUE"""),46)</f>
        <v>46</v>
      </c>
      <c r="B73" s="21" t="str">
        <f ca="1">IFERROR(__xludf.DUMMYFUNCTION("""COMPUTED_VALUE"""),"SPŠ IT 1")</f>
        <v>SPŠ IT 1</v>
      </c>
      <c r="C73" s="6" t="str">
        <f ca="1">IFERROR(__xludf.DUMMYFUNCTION("""COMPUTED_VALUE"""),"SPŠ informačných technológií Kysucké Nové Mesto")</f>
        <v>SPŠ informačných technológií Kysucké Nové Mesto</v>
      </c>
      <c r="D73" s="23" t="str">
        <f ca="1">IFERROR(__xludf.DUMMYFUNCTION("""COMPUTED_VALUE"""),"SŠ")</f>
        <v>SŠ</v>
      </c>
      <c r="E73" s="198">
        <f>MIN(F73:J73)</f>
        <v>4.1666666666666664E-2</v>
      </c>
      <c r="F73" s="200"/>
      <c r="G73" s="200"/>
      <c r="H73" s="200"/>
      <c r="I73" s="200"/>
      <c r="J73" s="200">
        <v>4.1666666666666664E-2</v>
      </c>
    </row>
    <row r="74" spans="1:10" ht="27.6">
      <c r="A74" s="34">
        <f ca="1">IFERROR(__xludf.DUMMYFUNCTION("""COMPUTED_VALUE"""),55)</f>
        <v>55</v>
      </c>
      <c r="B74" s="21" t="str">
        <f ca="1">IFERROR(__xludf.DUMMYFUNCTION("""COMPUTED_VALUE"""),"ToJuŠiMa")</f>
        <v>ToJuŠiMa</v>
      </c>
      <c r="C74" s="6" t="str">
        <f ca="1">IFERROR(__xludf.DUMMYFUNCTION("""COMPUTED_VALUE"""),"SŠ průmyslová a umělecká Hodonín")</f>
        <v>SŠ průmyslová a umělecká Hodonín</v>
      </c>
      <c r="D74" s="23" t="str">
        <f ca="1">IFERROR(__xludf.DUMMYFUNCTION("""COMPUTED_VALUE"""),"SŠ")</f>
        <v>SŠ</v>
      </c>
      <c r="E74" s="198">
        <f>MIN(F74:J74)</f>
        <v>4.1666666666666664E-2</v>
      </c>
      <c r="F74" s="200"/>
      <c r="G74" s="200"/>
      <c r="H74" s="200"/>
      <c r="I74" s="200"/>
      <c r="J74" s="200">
        <v>4.1666666666666664E-2</v>
      </c>
    </row>
    <row r="75" spans="1:10" ht="27.6">
      <c r="A75" s="15">
        <f ca="1">IFERROR(__xludf.DUMMYFUNCTION("""COMPUTED_VALUE"""),74)</f>
        <v>74</v>
      </c>
      <c r="B75" s="21" t="str">
        <f ca="1">IFERROR(__xludf.DUMMYFUNCTION("""COMPUTED_VALUE"""),"Tým 2")</f>
        <v>Tým 2</v>
      </c>
      <c r="C75" s="6" t="str">
        <f ca="1">IFERROR(__xludf.DUMMYFUNCTION("""COMPUTED_VALUE"""),"Jiráskovo gymnázium Náchod")</f>
        <v>Jiráskovo gymnázium Náchod</v>
      </c>
      <c r="D75" s="23" t="str">
        <f ca="1">IFERROR(__xludf.DUMMYFUNCTION("""COMPUTED_VALUE"""),"ZŠ")</f>
        <v>ZŠ</v>
      </c>
      <c r="E75" s="198">
        <f>MIN(F75:J75)</f>
        <v>4.1666666666666664E-2</v>
      </c>
      <c r="F75" s="200"/>
      <c r="G75" s="200"/>
      <c r="H75" s="200"/>
      <c r="I75" s="200"/>
      <c r="J75" s="200">
        <v>4.1666666666666664E-2</v>
      </c>
    </row>
    <row r="76" spans="1:10" ht="13.8">
      <c r="A76" s="34">
        <f ca="1">IFERROR(__xludf.DUMMYFUNCTION("""COMPUTED_VALUE"""),89)</f>
        <v>89</v>
      </c>
      <c r="B76" s="21" t="str">
        <f ca="1">IFERROR(__xludf.DUMMYFUNCTION("""COMPUTED_VALUE"""),"Hlucháci")</f>
        <v>Hlucháci</v>
      </c>
      <c r="C76" s="6" t="str">
        <f ca="1">IFERROR(__xludf.DUMMYFUNCTION("""COMPUTED_VALUE"""),"ZŠ Šumperk, 8. května")</f>
        <v>ZŠ Šumperk, 8. května</v>
      </c>
      <c r="D76" s="23" t="str">
        <f ca="1">IFERROR(__xludf.DUMMYFUNCTION("""COMPUTED_VALUE"""),"ZŠ")</f>
        <v>ZŠ</v>
      </c>
      <c r="E76" s="198">
        <f>MIN(F76:J76)</f>
        <v>4.1666666666666664E-2</v>
      </c>
      <c r="F76" s="203"/>
      <c r="G76" s="200"/>
      <c r="H76" s="199"/>
      <c r="I76" s="200"/>
      <c r="J76" s="200">
        <v>4.1666666666666664E-2</v>
      </c>
    </row>
    <row r="77" spans="1:10" ht="13.8">
      <c r="A77" s="34">
        <f ca="1">IFERROR(__xludf.DUMMYFUNCTION("""COMPUTED_VALUE"""),91)</f>
        <v>91</v>
      </c>
      <c r="B77" s="21" t="str">
        <f ca="1">IFERROR(__xludf.DUMMYFUNCTION("""COMPUTED_VALUE"""),"Androidi")</f>
        <v>Androidi</v>
      </c>
      <c r="C77" s="6" t="str">
        <f ca="1">IFERROR(__xludf.DUMMYFUNCTION("""COMPUTED_VALUE"""),"ZŠ, Znojmo, Mládeže 3")</f>
        <v>ZŠ, Znojmo, Mládeže 3</v>
      </c>
      <c r="D77" s="23" t="str">
        <f ca="1">IFERROR(__xludf.DUMMYFUNCTION("""COMPUTED_VALUE"""),"ZŠ")</f>
        <v>ZŠ</v>
      </c>
      <c r="E77" s="198">
        <f>MIN(F77:J77)</f>
        <v>4.1666666666666664E-2</v>
      </c>
      <c r="F77" s="200"/>
      <c r="G77" s="200"/>
      <c r="H77" s="200"/>
      <c r="I77" s="200"/>
      <c r="J77" s="200">
        <v>4.1666666666666664E-2</v>
      </c>
    </row>
    <row r="78" spans="1:10" ht="13.8">
      <c r="A78" s="15">
        <f ca="1">IFERROR(__xludf.DUMMYFUNCTION("""COMPUTED_VALUE"""),98)</f>
        <v>98</v>
      </c>
      <c r="B78" s="21" t="str">
        <f ca="1">IFERROR(__xludf.DUMMYFUNCTION("""COMPUTED_VALUE"""),"PORG 2")</f>
        <v>PORG 2</v>
      </c>
      <c r="C78" s="6" t="str">
        <f ca="1">IFERROR(__xludf.DUMMYFUNCTION("""COMPUTED_VALUE"""),"Gymnázium PORG Praha")</f>
        <v>Gymnázium PORG Praha</v>
      </c>
      <c r="D78" s="23" t="str">
        <f ca="1">IFERROR(__xludf.DUMMYFUNCTION("""COMPUTED_VALUE"""),"ZŠ")</f>
        <v>ZŠ</v>
      </c>
      <c r="E78" s="198">
        <f>MIN(F78:J78)</f>
        <v>4.1666666666666664E-2</v>
      </c>
      <c r="F78" s="199"/>
      <c r="G78" s="199"/>
      <c r="H78" s="199"/>
      <c r="I78" s="200"/>
      <c r="J78" s="200">
        <v>4.1666666666666664E-2</v>
      </c>
    </row>
    <row r="79" spans="1:10" ht="27.6">
      <c r="A79" s="15">
        <f ca="1">IFERROR(__xludf.DUMMYFUNCTION("""COMPUTED_VALUE"""),128)</f>
        <v>128</v>
      </c>
      <c r="B79" s="21" t="str">
        <f ca="1">IFERROR(__xludf.DUMMYFUNCTION("""COMPUTED_VALUE"""),"R.U.R. Gybot")</f>
        <v>R.U.R. Gybot</v>
      </c>
      <c r="C79" s="6" t="str">
        <f ca="1">IFERROR(__xludf.DUMMYFUNCTION("""COMPUTED_VALUE"""),"Gymnázium Praha, Botičská")</f>
        <v>Gymnázium Praha, Botičská</v>
      </c>
      <c r="D79" s="23" t="str">
        <f ca="1">IFERROR(__xludf.DUMMYFUNCTION("""COMPUTED_VALUE"""),"SŠ")</f>
        <v>SŠ</v>
      </c>
      <c r="E79" s="198">
        <f>MIN(F79:J79)</f>
        <v>4.1666666666666664E-2</v>
      </c>
      <c r="F79" s="200"/>
      <c r="G79" s="203"/>
      <c r="H79" s="199"/>
      <c r="I79" s="200"/>
      <c r="J79" s="200">
        <v>4.1666666666666664E-2</v>
      </c>
    </row>
    <row r="80" spans="1:10" ht="27.6">
      <c r="A80" s="15">
        <f ca="1">IFERROR(__xludf.DUMMYFUNCTION("""COMPUTED_VALUE"""),135)</f>
        <v>135</v>
      </c>
      <c r="B80" s="21" t="str">
        <f ca="1">IFERROR(__xludf.DUMMYFUNCTION("""COMPUTED_VALUE"""),"Kaštani")</f>
        <v>Kaštani</v>
      </c>
      <c r="C80" s="6" t="str">
        <f ca="1">IFERROR(__xludf.DUMMYFUNCTION("""COMPUTED_VALUE"""),"Matiční gymnázium, Ostrava")</f>
        <v>Matiční gymnázium, Ostrava</v>
      </c>
      <c r="D80" s="23" t="str">
        <f ca="1">IFERROR(__xludf.DUMMYFUNCTION("""COMPUTED_VALUE"""),"ZŠ")</f>
        <v>ZŠ</v>
      </c>
      <c r="E80" s="198">
        <f>MIN(F80:J80)</f>
        <v>4.1666666666666664E-2</v>
      </c>
      <c r="F80" s="202"/>
      <c r="G80" s="200"/>
      <c r="H80" s="200"/>
      <c r="I80" s="200"/>
      <c r="J80" s="200">
        <v>4.1666666666666664E-2</v>
      </c>
    </row>
    <row r="81" spans="1:10" ht="13.8">
      <c r="A81" s="15">
        <f ca="1">IFERROR(__xludf.DUMMYFUNCTION("""COMPUTED_VALUE"""),137)</f>
        <v>137</v>
      </c>
      <c r="B81" s="21" t="str">
        <f ca="1">IFERROR(__xludf.DUMMYFUNCTION("""COMPUTED_VALUE"""),"_Půda Crew 1")</f>
        <v>_Půda Crew 1</v>
      </c>
      <c r="C81" s="6" t="str">
        <f ca="1">IFERROR(__xludf.DUMMYFUNCTION("""COMPUTED_VALUE"""),"Městská knihovna Polička")</f>
        <v>Městská knihovna Polička</v>
      </c>
      <c r="D81" s="23" t="str">
        <f ca="1">IFERROR(__xludf.DUMMYFUNCTION("""COMPUTED_VALUE"""),"ZŠ")</f>
        <v>ZŠ</v>
      </c>
      <c r="E81" s="198">
        <f>MIN(F81:J81)</f>
        <v>4.1666666666666664E-2</v>
      </c>
      <c r="F81" s="200"/>
      <c r="G81" s="200"/>
      <c r="H81" s="199"/>
      <c r="I81" s="200"/>
      <c r="J81" s="200">
        <v>4.1666666666666664E-2</v>
      </c>
    </row>
    <row r="82" spans="1:10" ht="13.8">
      <c r="A82" s="15">
        <f ca="1">IFERROR(__xludf.DUMMYFUNCTION("""COMPUTED_VALUE"""),139)</f>
        <v>139</v>
      </c>
      <c r="B82" s="21" t="str">
        <f ca="1">IFERROR(__xludf.DUMMYFUNCTION("""COMPUTED_VALUE"""),"_Půda Crew 3")</f>
        <v>_Půda Crew 3</v>
      </c>
      <c r="C82" s="6" t="str">
        <f ca="1">IFERROR(__xludf.DUMMYFUNCTION("""COMPUTED_VALUE"""),"Městská knihovna Polička")</f>
        <v>Městská knihovna Polička</v>
      </c>
      <c r="D82" s="23" t="str">
        <f ca="1">IFERROR(__xludf.DUMMYFUNCTION("""COMPUTED_VALUE"""),"ZŠ")</f>
        <v>ZŠ</v>
      </c>
      <c r="E82" s="198">
        <f>MIN(F82:J82)</f>
        <v>4.1666666666666664E-2</v>
      </c>
      <c r="F82" s="200"/>
      <c r="G82" s="200"/>
      <c r="H82" s="200"/>
      <c r="I82" s="200"/>
      <c r="J82" s="200">
        <v>4.1666666666666664E-2</v>
      </c>
    </row>
    <row r="83" spans="1:10" ht="27.6">
      <c r="A83" s="15">
        <f ca="1">IFERROR(__xludf.DUMMYFUNCTION("""COMPUTED_VALUE"""),155)</f>
        <v>155</v>
      </c>
      <c r="B83" s="21" t="str">
        <f ca="1">IFERROR(__xludf.DUMMYFUNCTION("""COMPUTED_VALUE"""),"Nerdíci z kvarty")</f>
        <v>Nerdíci z kvarty</v>
      </c>
      <c r="C83" s="6" t="str">
        <f ca="1">IFERROR(__xludf.DUMMYFUNCTION("""COMPUTED_VALUE"""),"Wichterlovo gymnázium, Ostrava-Poruba")</f>
        <v>Wichterlovo gymnázium, Ostrava-Poruba</v>
      </c>
      <c r="D83" s="23" t="str">
        <f ca="1">IFERROR(__xludf.DUMMYFUNCTION("""COMPUTED_VALUE"""),"ZŠ")</f>
        <v>ZŠ</v>
      </c>
      <c r="E83" s="198">
        <f>MIN(F83:J83)</f>
        <v>4.1666666666666664E-2</v>
      </c>
      <c r="F83" s="200"/>
      <c r="G83" s="201"/>
      <c r="H83" s="199"/>
      <c r="I83" s="200"/>
      <c r="J83" s="200">
        <v>4.1666666666666664E-2</v>
      </c>
    </row>
    <row r="84" spans="1:10" ht="27.6">
      <c r="A84" s="15">
        <f ca="1">IFERROR(__xludf.DUMMYFUNCTION("""COMPUTED_VALUE"""),161)</f>
        <v>161</v>
      </c>
      <c r="B84" s="21" t="str">
        <f ca="1">IFERROR(__xludf.DUMMYFUNCTION("""COMPUTED_VALUE"""),"Robokop")</f>
        <v>Robokop</v>
      </c>
      <c r="C84" s="6" t="str">
        <f ca="1">IFERROR(__xludf.DUMMYFUNCTION("""COMPUTED_VALUE"""),"ZŠ Hustopeče, Komenského")</f>
        <v>ZŠ Hustopeče, Komenského</v>
      </c>
      <c r="D84" s="23" t="str">
        <f ca="1">IFERROR(__xludf.DUMMYFUNCTION("""COMPUTED_VALUE"""),"ZŠ")</f>
        <v>ZŠ</v>
      </c>
      <c r="E84" s="198">
        <f>MIN(F84:J84)</f>
        <v>4.1666666666666664E-2</v>
      </c>
      <c r="F84" s="200"/>
      <c r="G84" s="201"/>
      <c r="H84" s="201"/>
      <c r="I84" s="200"/>
      <c r="J84" s="200">
        <v>4.1666666666666664E-2</v>
      </c>
    </row>
    <row r="85" spans="1:10" ht="27.6">
      <c r="A85" s="15">
        <f ca="1">IFERROR(__xludf.DUMMYFUNCTION("""COMPUTED_VALUE"""),169)</f>
        <v>169</v>
      </c>
      <c r="B85" s="21" t="str">
        <f ca="1">IFERROR(__xludf.DUMMYFUNCTION("""COMPUTED_VALUE"""),"Bunlab Team VII")</f>
        <v>Bunlab Team VII</v>
      </c>
      <c r="C85" s="6" t="str">
        <f ca="1">IFERROR(__xludf.DUMMYFUNCTION("""COMPUTED_VALUE"""),"TAK im. Ireny Sendlerowej Opole")</f>
        <v>TAK im. Ireny Sendlerowej Opole</v>
      </c>
      <c r="D85" s="23" t="str">
        <f ca="1">IFERROR(__xludf.DUMMYFUNCTION("""COMPUTED_VALUE"""),"ZŠ (6-15 years)")</f>
        <v>ZŠ (6-15 years)</v>
      </c>
      <c r="E85" s="198">
        <f>MIN(F85:J85)</f>
        <v>4.1666666666666664E-2</v>
      </c>
      <c r="F85" s="200"/>
      <c r="G85" s="200"/>
      <c r="H85" s="200"/>
      <c r="I85" s="200"/>
      <c r="J85" s="200">
        <v>4.1666666666666664E-2</v>
      </c>
    </row>
    <row r="86" spans="1:10" ht="27.6">
      <c r="A86" s="29">
        <f ca="1">IFERROR(__xludf.DUMMYFUNCTION("""COMPUTED_VALUE"""),172)</f>
        <v>172</v>
      </c>
      <c r="B86" s="21" t="str">
        <f ca="1">IFERROR(__xludf.DUMMYFUNCTION("""COMPUTED_VALUE"""),"Bunlab Team X")</f>
        <v>Bunlab Team X</v>
      </c>
      <c r="C86" s="6" t="str">
        <f ca="1">IFERROR(__xludf.DUMMYFUNCTION("""COMPUTED_VALUE"""),"PSP Polska Nowa Wieś")</f>
        <v>PSP Polska Nowa Wieś</v>
      </c>
      <c r="D86" s="23" t="str">
        <f ca="1">IFERROR(__xludf.DUMMYFUNCTION("""COMPUTED_VALUE"""),"ZŠ (6-15 years)")</f>
        <v>ZŠ (6-15 years)</v>
      </c>
      <c r="E86" s="198">
        <f>MIN(F86:J86)</f>
        <v>4.1666666666666664E-2</v>
      </c>
      <c r="F86" s="200"/>
      <c r="G86" s="200"/>
      <c r="H86" s="200"/>
      <c r="I86" s="200"/>
      <c r="J86" s="200">
        <v>4.1666666666666664E-2</v>
      </c>
    </row>
    <row r="87" spans="1:10" ht="27.6">
      <c r="A87" s="15">
        <f ca="1">IFERROR(__xludf.DUMMYFUNCTION("""COMPUTED_VALUE"""),177)</f>
        <v>177</v>
      </c>
      <c r="B87" s="21" t="str">
        <f ca="1">IFERROR(__xludf.DUMMYFUNCTION("""COMPUTED_VALUE"""),"Dift")</f>
        <v>Dift</v>
      </c>
      <c r="C87" s="6" t="str">
        <f ca="1">IFERROR(__xludf.DUMMYFUNCTION("""COMPUTED_VALUE"""),"Gymnázium Martina Hattalu Trstená")</f>
        <v>Gymnázium Martina Hattalu Trstená</v>
      </c>
      <c r="D87" s="23" t="str">
        <f ca="1">IFERROR(__xludf.DUMMYFUNCTION("""COMPUTED_VALUE"""),"SŠ")</f>
        <v>SŠ</v>
      </c>
      <c r="E87" s="198">
        <f>MIN(F87:J87)</f>
        <v>4.1666666666666664E-2</v>
      </c>
      <c r="F87" s="200"/>
      <c r="G87" s="200"/>
      <c r="H87" s="200"/>
      <c r="I87" s="200"/>
      <c r="J87" s="200">
        <v>4.1666666666666664E-2</v>
      </c>
    </row>
    <row r="88" spans="1:10" ht="27.6">
      <c r="A88" s="15">
        <f ca="1">IFERROR(__xludf.DUMMYFUNCTION("""COMPUTED_VALUE"""),178)</f>
        <v>178</v>
      </c>
      <c r="B88" s="21" t="str">
        <f ca="1">IFERROR(__xludf.DUMMYFUNCTION("""COMPUTED_VALUE"""),"Prostacka prostota ")</f>
        <v xml:space="preserve">Prostacka prostota </v>
      </c>
      <c r="C88" s="6" t="str">
        <f ca="1">IFERROR(__xludf.DUMMYFUNCTION("""COMPUTED_VALUE"""),"LO Bieruń")</f>
        <v>LO Bieruń</v>
      </c>
      <c r="D88" s="23" t="str">
        <f ca="1">IFERROR(__xludf.DUMMYFUNCTION("""COMPUTED_VALUE"""),"SŠ (15-19 years)")</f>
        <v>SŠ (15-19 years)</v>
      </c>
      <c r="E88" s="198">
        <f>MIN(F88:J88)</f>
        <v>4.1666666666666664E-2</v>
      </c>
      <c r="F88" s="200"/>
      <c r="G88" s="200"/>
      <c r="H88" s="200"/>
      <c r="I88" s="200"/>
      <c r="J88" s="200">
        <v>4.1666666666666664E-2</v>
      </c>
    </row>
    <row r="89" spans="1:10" ht="27.6">
      <c r="A89" s="15">
        <f ca="1">IFERROR(__xludf.DUMMYFUNCTION("""COMPUTED_VALUE"""),179)</f>
        <v>179</v>
      </c>
      <c r="B89" s="21" t="str">
        <f ca="1">IFERROR(__xludf.DUMMYFUNCTION("""COMPUTED_VALUE"""),"Korniszony")</f>
        <v>Korniszony</v>
      </c>
      <c r="C89" s="6" t="str">
        <f ca="1">IFERROR(__xludf.DUMMYFUNCTION("""COMPUTED_VALUE"""),"LO Bieruń")</f>
        <v>LO Bieruń</v>
      </c>
      <c r="D89" s="23" t="str">
        <f ca="1">IFERROR(__xludf.DUMMYFUNCTION("""COMPUTED_VALUE"""),"SŠ (15-19 years)")</f>
        <v>SŠ (15-19 years)</v>
      </c>
      <c r="E89" s="198">
        <f>MIN(F89:J89)</f>
        <v>4.1666666666666664E-2</v>
      </c>
      <c r="F89" s="200"/>
      <c r="G89" s="200"/>
      <c r="H89" s="200"/>
      <c r="I89" s="200"/>
      <c r="J89" s="200">
        <v>4.1666666666666664E-2</v>
      </c>
    </row>
    <row r="90" spans="1:10" ht="27.6">
      <c r="A90" s="34">
        <f ca="1">IFERROR(__xludf.DUMMYFUNCTION("""COMPUTED_VALUE"""),180)</f>
        <v>180</v>
      </c>
      <c r="B90" s="21" t="str">
        <f ca="1">IFERROR(__xludf.DUMMYFUNCTION("""COMPUTED_VALUE"""),"Gongulon")</f>
        <v>Gongulon</v>
      </c>
      <c r="C90" s="6" t="str">
        <f ca="1">IFERROR(__xludf.DUMMYFUNCTION("""COMPUTED_VALUE"""),"LO Bieruń")</f>
        <v>LO Bieruń</v>
      </c>
      <c r="D90" s="23" t="str">
        <f ca="1">IFERROR(__xludf.DUMMYFUNCTION("""COMPUTED_VALUE"""),"SŠ (15-19 years)")</f>
        <v>SŠ (15-19 years)</v>
      </c>
      <c r="E90" s="198">
        <f>MIN(F90:J90)</f>
        <v>4.1666666666666664E-2</v>
      </c>
      <c r="F90" s="200"/>
      <c r="G90" s="200"/>
      <c r="H90" s="200"/>
      <c r="I90" s="200"/>
      <c r="J90" s="200">
        <v>4.1666666666666664E-2</v>
      </c>
    </row>
    <row r="91" spans="1:10" ht="27.6">
      <c r="A91" s="34">
        <f ca="1">IFERROR(__xludf.DUMMYFUNCTION("""COMPUTED_VALUE"""),184)</f>
        <v>184</v>
      </c>
      <c r="B91" s="21" t="str">
        <f ca="1">IFERROR(__xludf.DUMMYFUNCTION("""COMPUTED_VALUE"""),"ONAROBIHIPHOP")</f>
        <v>ONAROBIHIPHOP</v>
      </c>
      <c r="C91" s="6" t="str">
        <f ca="1">IFERROR(__xludf.DUMMYFUNCTION("""COMPUTED_VALUE"""),"Zespół Szkół Technicznych Rybnik ")</f>
        <v xml:space="preserve">Zespół Szkół Technicznych Rybnik </v>
      </c>
      <c r="D91" s="23" t="str">
        <f ca="1">IFERROR(__xludf.DUMMYFUNCTION("""COMPUTED_VALUE"""),"SŠ (15-19 years)")</f>
        <v>SŠ (15-19 years)</v>
      </c>
      <c r="E91" s="198">
        <f>MIN(F91:J91)</f>
        <v>4.1666666666666664E-2</v>
      </c>
      <c r="F91" s="200"/>
      <c r="G91" s="200"/>
      <c r="H91" s="200"/>
      <c r="I91" s="200"/>
      <c r="J91" s="200">
        <v>4.1666666666666664E-2</v>
      </c>
    </row>
    <row r="92" spans="1:10" ht="27.6">
      <c r="A92" s="34">
        <f ca="1">IFERROR(__xludf.DUMMYFUNCTION("""COMPUTED_VALUE"""),186)</f>
        <v>186</v>
      </c>
      <c r="B92" s="21" t="str">
        <f ca="1">IFERROR(__xludf.DUMMYFUNCTION("""COMPUTED_VALUE"""),"rozwalone tryby")</f>
        <v>rozwalone tryby</v>
      </c>
      <c r="C92" s="6" t="str">
        <f ca="1">IFERROR(__xludf.DUMMYFUNCTION("""COMPUTED_VALUE"""),"Gmina szkoła w Świerczyńcu")</f>
        <v>Gmina szkoła w Świerczyńcu</v>
      </c>
      <c r="D92" s="23" t="str">
        <f ca="1">IFERROR(__xludf.DUMMYFUNCTION("""COMPUTED_VALUE"""),"ZŠ (6-15 years)")</f>
        <v>ZŠ (6-15 years)</v>
      </c>
      <c r="E92" s="198">
        <f>MIN(F92:J92)</f>
        <v>4.1666666666666664E-2</v>
      </c>
      <c r="F92" s="203"/>
      <c r="G92" s="200"/>
      <c r="H92" s="201"/>
      <c r="I92" s="200"/>
      <c r="J92" s="200">
        <v>4.1666666666666664E-2</v>
      </c>
    </row>
    <row r="93" spans="1:10" ht="13.8">
      <c r="A93" s="34"/>
      <c r="B93" s="21"/>
      <c r="C93" s="6"/>
      <c r="D93" s="23"/>
      <c r="E93" s="198">
        <f t="shared" ref="E3:E104" si="0">MIN(F93:J93)</f>
        <v>4.1666666666666664E-2</v>
      </c>
      <c r="F93" s="200"/>
      <c r="G93" s="200"/>
      <c r="H93" s="201"/>
      <c r="I93" s="200"/>
      <c r="J93" s="200">
        <v>4.1666666666666664E-2</v>
      </c>
    </row>
    <row r="94" spans="1:10" ht="13.8">
      <c r="A94" s="34"/>
      <c r="B94" s="21"/>
      <c r="C94" s="6"/>
      <c r="D94" s="23"/>
      <c r="E94" s="198">
        <f t="shared" si="0"/>
        <v>4.1666666666666664E-2</v>
      </c>
      <c r="F94" s="200"/>
      <c r="G94" s="201"/>
      <c r="H94" s="201"/>
      <c r="I94" s="200"/>
      <c r="J94" s="200">
        <v>4.1666666666666664E-2</v>
      </c>
    </row>
    <row r="95" spans="1:10" ht="13.8">
      <c r="A95" s="34"/>
      <c r="B95" s="21"/>
      <c r="C95" s="6"/>
      <c r="D95" s="23"/>
      <c r="E95" s="198">
        <f t="shared" si="0"/>
        <v>4.1666666666666664E-2</v>
      </c>
      <c r="F95" s="199"/>
      <c r="G95" s="201"/>
      <c r="H95" s="201"/>
      <c r="I95" s="200"/>
      <c r="J95" s="200">
        <v>4.1666666666666664E-2</v>
      </c>
    </row>
    <row r="96" spans="1:10" ht="13.8">
      <c r="A96" s="34"/>
      <c r="B96" s="21"/>
      <c r="C96" s="6"/>
      <c r="D96" s="23"/>
      <c r="E96" s="198">
        <f t="shared" si="0"/>
        <v>4.1666666666666664E-2</v>
      </c>
      <c r="F96" s="203"/>
      <c r="G96" s="201"/>
      <c r="H96" s="199"/>
      <c r="I96" s="200"/>
      <c r="J96" s="200">
        <v>4.1666666666666664E-2</v>
      </c>
    </row>
    <row r="97" spans="1:10" ht="13.8">
      <c r="A97" s="34"/>
      <c r="B97" s="21"/>
      <c r="C97" s="6"/>
      <c r="D97" s="23"/>
      <c r="E97" s="198">
        <f t="shared" si="0"/>
        <v>4.1666666666666664E-2</v>
      </c>
      <c r="F97" s="203"/>
      <c r="G97" s="199"/>
      <c r="H97" s="199"/>
      <c r="I97" s="200"/>
      <c r="J97" s="200">
        <v>4.1666666666666664E-2</v>
      </c>
    </row>
    <row r="98" spans="1:10" ht="13.8">
      <c r="A98" s="34"/>
      <c r="B98" s="21"/>
      <c r="C98" s="6"/>
      <c r="D98" s="23"/>
      <c r="E98" s="198">
        <f t="shared" si="0"/>
        <v>4.1666666666666664E-2</v>
      </c>
      <c r="F98" s="203"/>
      <c r="G98" s="199"/>
      <c r="H98" s="201"/>
      <c r="I98" s="200"/>
      <c r="J98" s="200">
        <v>4.1666666666666664E-2</v>
      </c>
    </row>
    <row r="99" spans="1:10" ht="13.8">
      <c r="A99" s="34"/>
      <c r="B99" s="21"/>
      <c r="C99" s="6"/>
      <c r="D99" s="23"/>
      <c r="E99" s="198">
        <f t="shared" si="0"/>
        <v>4.1666666666666664E-2</v>
      </c>
      <c r="F99" s="203"/>
      <c r="G99" s="199"/>
      <c r="H99" s="201"/>
      <c r="I99" s="200"/>
      <c r="J99" s="200">
        <v>4.1666666666666664E-2</v>
      </c>
    </row>
    <row r="100" spans="1:10" ht="13.8">
      <c r="A100" s="29"/>
      <c r="B100" s="21"/>
      <c r="C100" s="6"/>
      <c r="D100" s="23"/>
      <c r="E100" s="198">
        <f t="shared" si="0"/>
        <v>4.1666666666666664E-2</v>
      </c>
      <c r="F100" s="201"/>
      <c r="G100" s="199"/>
      <c r="H100" s="201"/>
      <c r="I100" s="200"/>
      <c r="J100" s="200">
        <v>4.1666666666666664E-2</v>
      </c>
    </row>
    <row r="101" spans="1:10" ht="13.8">
      <c r="A101" s="34"/>
      <c r="B101" s="21"/>
      <c r="C101" s="6"/>
      <c r="D101" s="23"/>
      <c r="E101" s="198">
        <f t="shared" si="0"/>
        <v>4.1666666666666664E-2</v>
      </c>
      <c r="F101" s="203"/>
      <c r="G101" s="199"/>
      <c r="H101" s="201"/>
      <c r="I101" s="200"/>
      <c r="J101" s="200">
        <v>4.1666666666666664E-2</v>
      </c>
    </row>
    <row r="102" spans="1:10" ht="13.8">
      <c r="A102" s="34"/>
      <c r="B102" s="21"/>
      <c r="C102" s="6"/>
      <c r="D102" s="23"/>
      <c r="E102" s="198">
        <f t="shared" si="0"/>
        <v>4.1666666666666664E-2</v>
      </c>
      <c r="F102" s="203"/>
      <c r="G102" s="199"/>
      <c r="H102" s="201"/>
      <c r="I102" s="200"/>
      <c r="J102" s="200">
        <v>4.1666666666666664E-2</v>
      </c>
    </row>
    <row r="103" spans="1:10" ht="13.8">
      <c r="A103" s="34"/>
      <c r="B103" s="21"/>
      <c r="C103" s="6"/>
      <c r="D103" s="23"/>
      <c r="E103" s="198">
        <f t="shared" si="0"/>
        <v>4.1666666666666664E-2</v>
      </c>
      <c r="F103" s="201"/>
      <c r="G103" s="199"/>
      <c r="H103" s="201"/>
      <c r="I103" s="200"/>
      <c r="J103" s="200">
        <v>4.1666666666666664E-2</v>
      </c>
    </row>
    <row r="104" spans="1:10" ht="13.8">
      <c r="A104" s="34"/>
      <c r="B104" s="21"/>
      <c r="C104" s="6"/>
      <c r="D104" s="23"/>
      <c r="E104" s="198">
        <f t="shared" si="0"/>
        <v>4.1666666666666664E-2</v>
      </c>
      <c r="F104" s="201"/>
      <c r="G104" s="199"/>
      <c r="H104" s="201"/>
      <c r="I104" s="200"/>
      <c r="J104" s="200">
        <v>4.1666666666666664E-2</v>
      </c>
    </row>
    <row r="105" spans="1:10" ht="13.2">
      <c r="B105" s="50"/>
      <c r="D105" s="51"/>
      <c r="I105" s="30"/>
      <c r="J105" s="30"/>
    </row>
    <row r="106" spans="1:10" ht="13.2">
      <c r="B106" s="50"/>
      <c r="D106" s="51"/>
      <c r="I106" s="30"/>
      <c r="J106" s="30"/>
    </row>
    <row r="107" spans="1:10" ht="13.2">
      <c r="B107" s="50"/>
      <c r="D107" s="51"/>
      <c r="I107" s="30"/>
      <c r="J107" s="30"/>
    </row>
    <row r="108" spans="1:10" ht="13.2">
      <c r="B108" s="50"/>
      <c r="D108" s="51"/>
      <c r="I108" s="30"/>
      <c r="J108" s="30"/>
    </row>
    <row r="109" spans="1:10" ht="13.2">
      <c r="B109" s="50"/>
      <c r="D109" s="51"/>
      <c r="I109" s="30"/>
      <c r="J109" s="30"/>
    </row>
    <row r="110" spans="1:10" ht="13.2">
      <c r="B110" s="50"/>
      <c r="D110" s="51"/>
      <c r="I110" s="30"/>
      <c r="J110" s="30"/>
    </row>
    <row r="111" spans="1:10" ht="13.2">
      <c r="B111" s="50"/>
      <c r="D111" s="51"/>
      <c r="I111" s="30"/>
      <c r="J111" s="30"/>
    </row>
    <row r="112" spans="1:10" ht="13.2">
      <c r="B112" s="50"/>
      <c r="D112" s="51"/>
      <c r="I112" s="30"/>
      <c r="J112" s="30"/>
    </row>
    <row r="113" spans="2:10" ht="13.2">
      <c r="B113" s="50"/>
      <c r="D113" s="51"/>
      <c r="I113" s="30"/>
      <c r="J113" s="30"/>
    </row>
    <row r="114" spans="2:10" ht="13.2">
      <c r="B114" s="50"/>
      <c r="D114" s="51"/>
      <c r="I114" s="30"/>
      <c r="J114" s="30"/>
    </row>
    <row r="115" spans="2:10" ht="13.2">
      <c r="B115" s="50"/>
      <c r="D115" s="51"/>
      <c r="I115" s="30"/>
      <c r="J115" s="30"/>
    </row>
    <row r="116" spans="2:10" ht="13.2">
      <c r="B116" s="50"/>
      <c r="D116" s="51"/>
      <c r="I116" s="30"/>
      <c r="J116" s="30"/>
    </row>
    <row r="117" spans="2:10" ht="13.2">
      <c r="B117" s="50"/>
      <c r="D117" s="51"/>
      <c r="I117" s="30"/>
      <c r="J117" s="30"/>
    </row>
    <row r="118" spans="2:10" ht="13.2">
      <c r="B118" s="50"/>
      <c r="D118" s="51"/>
      <c r="I118" s="30"/>
      <c r="J118" s="30"/>
    </row>
    <row r="119" spans="2:10" ht="13.2">
      <c r="B119" s="50"/>
      <c r="D119" s="51"/>
      <c r="I119" s="30"/>
      <c r="J119" s="30"/>
    </row>
    <row r="120" spans="2:10" ht="13.2">
      <c r="B120" s="50"/>
      <c r="D120" s="51"/>
      <c r="I120" s="30"/>
      <c r="J120" s="30"/>
    </row>
    <row r="121" spans="2:10" ht="13.2">
      <c r="B121" s="50"/>
      <c r="D121" s="51"/>
      <c r="I121" s="30"/>
      <c r="J121" s="30"/>
    </row>
    <row r="122" spans="2:10" ht="13.2">
      <c r="B122" s="50"/>
      <c r="D122" s="51"/>
      <c r="I122" s="30"/>
      <c r="J122" s="30"/>
    </row>
    <row r="123" spans="2:10" ht="13.2">
      <c r="B123" s="50"/>
      <c r="D123" s="51"/>
      <c r="I123" s="30"/>
      <c r="J123" s="30"/>
    </row>
    <row r="124" spans="2:10" ht="13.2">
      <c r="B124" s="50"/>
      <c r="D124" s="51"/>
      <c r="I124" s="30"/>
      <c r="J124" s="30"/>
    </row>
    <row r="125" spans="2:10" ht="13.2">
      <c r="B125" s="50"/>
      <c r="D125" s="51"/>
      <c r="I125" s="30"/>
      <c r="J125" s="30"/>
    </row>
    <row r="126" spans="2:10" ht="13.2">
      <c r="B126" s="50"/>
      <c r="D126" s="51"/>
      <c r="I126" s="30"/>
      <c r="J126" s="30"/>
    </row>
    <row r="127" spans="2:10" ht="13.2">
      <c r="B127" s="50"/>
      <c r="D127" s="51"/>
      <c r="I127" s="30"/>
      <c r="J127" s="30"/>
    </row>
    <row r="128" spans="2:10" ht="13.2">
      <c r="B128" s="50"/>
      <c r="D128" s="51"/>
      <c r="I128" s="30"/>
      <c r="J128" s="30"/>
    </row>
    <row r="129" spans="2:10" ht="13.2">
      <c r="B129" s="50"/>
      <c r="D129" s="51"/>
      <c r="I129" s="30"/>
      <c r="J129" s="30"/>
    </row>
    <row r="130" spans="2:10" ht="13.2">
      <c r="B130" s="50"/>
      <c r="D130" s="51"/>
      <c r="I130" s="30"/>
      <c r="J130" s="30"/>
    </row>
    <row r="131" spans="2:10" ht="13.2">
      <c r="B131" s="50"/>
      <c r="D131" s="51"/>
      <c r="I131" s="30"/>
      <c r="J131" s="30"/>
    </row>
    <row r="132" spans="2:10" ht="13.2">
      <c r="B132" s="50"/>
      <c r="D132" s="51"/>
      <c r="I132" s="30"/>
      <c r="J132" s="30"/>
    </row>
    <row r="133" spans="2:10" ht="13.2">
      <c r="B133" s="50"/>
      <c r="D133" s="51"/>
      <c r="I133" s="30"/>
      <c r="J133" s="30"/>
    </row>
    <row r="134" spans="2:10" ht="13.2">
      <c r="B134" s="50"/>
      <c r="D134" s="51"/>
      <c r="I134" s="30"/>
      <c r="J134" s="30"/>
    </row>
    <row r="135" spans="2:10" ht="13.2">
      <c r="B135" s="50"/>
      <c r="D135" s="51"/>
      <c r="I135" s="30"/>
      <c r="J135" s="30"/>
    </row>
    <row r="136" spans="2:10" ht="13.2">
      <c r="B136" s="50"/>
      <c r="D136" s="51"/>
      <c r="I136" s="30"/>
      <c r="J136" s="30"/>
    </row>
    <row r="137" spans="2:10" ht="13.2">
      <c r="B137" s="50"/>
      <c r="D137" s="51"/>
      <c r="I137" s="30"/>
      <c r="J137" s="30"/>
    </row>
    <row r="138" spans="2:10" ht="13.2">
      <c r="B138" s="50"/>
      <c r="D138" s="51"/>
      <c r="I138" s="30"/>
      <c r="J138" s="30"/>
    </row>
    <row r="139" spans="2:10" ht="13.2">
      <c r="B139" s="50"/>
      <c r="D139" s="51"/>
      <c r="I139" s="30"/>
      <c r="J139" s="30"/>
    </row>
    <row r="140" spans="2:10" ht="13.2">
      <c r="B140" s="50"/>
      <c r="D140" s="51"/>
      <c r="I140" s="30"/>
      <c r="J140" s="30"/>
    </row>
    <row r="141" spans="2:10" ht="13.2">
      <c r="B141" s="50"/>
      <c r="D141" s="51"/>
      <c r="I141" s="30"/>
      <c r="J141" s="30"/>
    </row>
    <row r="142" spans="2:10" ht="13.2">
      <c r="B142" s="50"/>
      <c r="D142" s="51"/>
      <c r="I142" s="30"/>
      <c r="J142" s="30"/>
    </row>
    <row r="143" spans="2:10" ht="13.2">
      <c r="B143" s="50"/>
      <c r="D143" s="51"/>
      <c r="I143" s="30"/>
      <c r="J143" s="30"/>
    </row>
    <row r="144" spans="2:10" ht="13.2">
      <c r="B144" s="50"/>
      <c r="D144" s="51"/>
      <c r="I144" s="30"/>
      <c r="J144" s="30"/>
    </row>
    <row r="145" spans="2:10" ht="13.2">
      <c r="B145" s="50"/>
      <c r="D145" s="51"/>
      <c r="I145" s="30"/>
      <c r="J145" s="30"/>
    </row>
    <row r="146" spans="2:10" ht="13.2">
      <c r="B146" s="50"/>
      <c r="D146" s="51"/>
      <c r="I146" s="30"/>
      <c r="J146" s="30"/>
    </row>
    <row r="147" spans="2:10" ht="13.2">
      <c r="B147" s="50"/>
      <c r="D147" s="51"/>
      <c r="I147" s="30"/>
      <c r="J147" s="30"/>
    </row>
    <row r="148" spans="2:10" ht="13.2">
      <c r="B148" s="50"/>
      <c r="D148" s="51"/>
      <c r="I148" s="30"/>
      <c r="J148" s="30"/>
    </row>
    <row r="149" spans="2:10" ht="13.2">
      <c r="B149" s="50"/>
      <c r="D149" s="51"/>
      <c r="I149" s="30"/>
      <c r="J149" s="30"/>
    </row>
    <row r="150" spans="2:10" ht="13.2">
      <c r="B150" s="50"/>
      <c r="D150" s="51"/>
      <c r="I150" s="30"/>
      <c r="J150" s="30"/>
    </row>
    <row r="151" spans="2:10" ht="13.2">
      <c r="B151" s="50"/>
      <c r="D151" s="51"/>
      <c r="I151" s="30"/>
      <c r="J151" s="30"/>
    </row>
    <row r="152" spans="2:10" ht="13.2">
      <c r="B152" s="50"/>
      <c r="D152" s="51"/>
      <c r="I152" s="30"/>
      <c r="J152" s="30"/>
    </row>
    <row r="153" spans="2:10" ht="13.2">
      <c r="B153" s="50"/>
      <c r="D153" s="51"/>
      <c r="I153" s="30"/>
      <c r="J153" s="30"/>
    </row>
    <row r="154" spans="2:10" ht="13.2">
      <c r="B154" s="50"/>
      <c r="D154" s="51"/>
      <c r="I154" s="30"/>
      <c r="J154" s="30"/>
    </row>
    <row r="155" spans="2:10" ht="13.2">
      <c r="B155" s="50"/>
      <c r="D155" s="51"/>
      <c r="I155" s="30"/>
      <c r="J155" s="30"/>
    </row>
    <row r="156" spans="2:10" ht="13.2">
      <c r="B156" s="50"/>
      <c r="D156" s="51"/>
      <c r="I156" s="30"/>
      <c r="J156" s="30"/>
    </row>
    <row r="157" spans="2:10" ht="13.2">
      <c r="B157" s="50"/>
      <c r="D157" s="51"/>
      <c r="I157" s="30"/>
      <c r="J157" s="30"/>
    </row>
    <row r="158" spans="2:10" ht="13.2">
      <c r="B158" s="50"/>
      <c r="D158" s="51"/>
      <c r="I158" s="30"/>
      <c r="J158" s="30"/>
    </row>
    <row r="159" spans="2:10" ht="13.2">
      <c r="B159" s="50"/>
      <c r="D159" s="51"/>
      <c r="I159" s="30"/>
      <c r="J159" s="30"/>
    </row>
    <row r="160" spans="2:10" ht="13.2">
      <c r="B160" s="50"/>
      <c r="D160" s="51"/>
      <c r="I160" s="30"/>
      <c r="J160" s="30"/>
    </row>
    <row r="161" spans="2:10" ht="13.2">
      <c r="B161" s="50"/>
      <c r="D161" s="51"/>
      <c r="I161" s="30"/>
      <c r="J161" s="30"/>
    </row>
    <row r="162" spans="2:10" ht="13.2">
      <c r="B162" s="50"/>
      <c r="D162" s="51"/>
      <c r="I162" s="30"/>
      <c r="J162" s="30"/>
    </row>
    <row r="163" spans="2:10" ht="13.2">
      <c r="B163" s="50"/>
      <c r="D163" s="51"/>
      <c r="I163" s="30"/>
      <c r="J163" s="30"/>
    </row>
    <row r="164" spans="2:10" ht="13.2">
      <c r="B164" s="50"/>
      <c r="D164" s="51"/>
      <c r="I164" s="30"/>
      <c r="J164" s="30"/>
    </row>
    <row r="165" spans="2:10" ht="13.2">
      <c r="B165" s="50"/>
      <c r="D165" s="51"/>
      <c r="I165" s="30"/>
      <c r="J165" s="30"/>
    </row>
    <row r="166" spans="2:10" ht="13.2">
      <c r="B166" s="50"/>
      <c r="D166" s="51"/>
      <c r="I166" s="30"/>
      <c r="J166" s="30"/>
    </row>
    <row r="167" spans="2:10" ht="13.2">
      <c r="B167" s="50"/>
      <c r="D167" s="51"/>
      <c r="I167" s="30"/>
      <c r="J167" s="30"/>
    </row>
    <row r="168" spans="2:10" ht="13.2">
      <c r="B168" s="50"/>
      <c r="D168" s="51"/>
      <c r="I168" s="30"/>
      <c r="J168" s="30"/>
    </row>
    <row r="169" spans="2:10" ht="13.2">
      <c r="B169" s="50"/>
      <c r="D169" s="51"/>
      <c r="I169" s="30"/>
      <c r="J169" s="30"/>
    </row>
    <row r="170" spans="2:10" ht="13.2">
      <c r="B170" s="50"/>
      <c r="D170" s="51"/>
      <c r="I170" s="30"/>
      <c r="J170" s="30"/>
    </row>
    <row r="171" spans="2:10" ht="13.2">
      <c r="B171" s="50"/>
      <c r="D171" s="51"/>
      <c r="I171" s="30"/>
      <c r="J171" s="30"/>
    </row>
    <row r="172" spans="2:10" ht="13.2">
      <c r="B172" s="50"/>
      <c r="D172" s="51"/>
      <c r="I172" s="30"/>
      <c r="J172" s="30"/>
    </row>
    <row r="173" spans="2:10" ht="13.2">
      <c r="B173" s="50"/>
      <c r="D173" s="51"/>
      <c r="I173" s="30"/>
      <c r="J173" s="30"/>
    </row>
    <row r="174" spans="2:10" ht="13.2">
      <c r="B174" s="50"/>
      <c r="D174" s="51"/>
      <c r="I174" s="30"/>
      <c r="J174" s="30"/>
    </row>
    <row r="175" spans="2:10" ht="13.2">
      <c r="B175" s="50"/>
      <c r="D175" s="51"/>
      <c r="I175" s="30"/>
      <c r="J175" s="30"/>
    </row>
    <row r="176" spans="2:10" ht="13.2">
      <c r="B176" s="50"/>
      <c r="D176" s="51"/>
      <c r="I176" s="30"/>
      <c r="J176" s="30"/>
    </row>
    <row r="177" spans="2:10" ht="13.2">
      <c r="B177" s="50"/>
      <c r="D177" s="51"/>
      <c r="I177" s="30"/>
      <c r="J177" s="30"/>
    </row>
    <row r="178" spans="2:10" ht="13.2">
      <c r="B178" s="50"/>
      <c r="D178" s="51"/>
      <c r="I178" s="30"/>
      <c r="J178" s="30"/>
    </row>
    <row r="179" spans="2:10" ht="13.2">
      <c r="B179" s="50"/>
      <c r="D179" s="51"/>
      <c r="I179" s="30"/>
      <c r="J179" s="30"/>
    </row>
    <row r="180" spans="2:10" ht="13.2">
      <c r="B180" s="50"/>
      <c r="D180" s="51"/>
      <c r="I180" s="30"/>
      <c r="J180" s="30"/>
    </row>
    <row r="181" spans="2:10" ht="13.2">
      <c r="B181" s="50"/>
      <c r="D181" s="51"/>
      <c r="I181" s="30"/>
      <c r="J181" s="30"/>
    </row>
    <row r="182" spans="2:10" ht="13.2">
      <c r="B182" s="50"/>
      <c r="D182" s="51"/>
      <c r="I182" s="30"/>
      <c r="J182" s="30"/>
    </row>
    <row r="183" spans="2:10" ht="13.2">
      <c r="B183" s="50"/>
      <c r="D183" s="51"/>
      <c r="I183" s="30"/>
      <c r="J183" s="30"/>
    </row>
    <row r="184" spans="2:10" ht="13.2">
      <c r="B184" s="50"/>
      <c r="D184" s="51"/>
      <c r="I184" s="30"/>
      <c r="J184" s="30"/>
    </row>
    <row r="185" spans="2:10" ht="13.2">
      <c r="B185" s="50"/>
      <c r="D185" s="51"/>
      <c r="I185" s="30"/>
      <c r="J185" s="30"/>
    </row>
    <row r="186" spans="2:10" ht="13.2">
      <c r="B186" s="50"/>
      <c r="D186" s="51"/>
      <c r="I186" s="30"/>
      <c r="J186" s="30"/>
    </row>
    <row r="187" spans="2:10" ht="13.2">
      <c r="B187" s="50"/>
      <c r="D187" s="51"/>
      <c r="I187" s="30"/>
      <c r="J187" s="30"/>
    </row>
    <row r="188" spans="2:10" ht="13.2">
      <c r="B188" s="50"/>
      <c r="D188" s="51"/>
      <c r="I188" s="30"/>
      <c r="J188" s="30"/>
    </row>
    <row r="189" spans="2:10" ht="13.2">
      <c r="B189" s="50"/>
      <c r="D189" s="51"/>
      <c r="I189" s="30"/>
      <c r="J189" s="30"/>
    </row>
    <row r="190" spans="2:10" ht="13.2">
      <c r="B190" s="50"/>
      <c r="D190" s="51"/>
      <c r="I190" s="30"/>
      <c r="J190" s="30"/>
    </row>
    <row r="191" spans="2:10" ht="13.2">
      <c r="B191" s="50"/>
      <c r="D191" s="51"/>
      <c r="I191" s="30"/>
      <c r="J191" s="30"/>
    </row>
    <row r="192" spans="2:10" ht="13.2">
      <c r="B192" s="50"/>
      <c r="D192" s="51"/>
      <c r="I192" s="30"/>
      <c r="J192" s="30"/>
    </row>
    <row r="193" spans="2:10" ht="13.2">
      <c r="B193" s="50"/>
      <c r="D193" s="51"/>
      <c r="I193" s="30"/>
      <c r="J193" s="30"/>
    </row>
    <row r="194" spans="2:10" ht="13.2">
      <c r="B194" s="50"/>
      <c r="D194" s="51"/>
      <c r="I194" s="30"/>
      <c r="J194" s="30"/>
    </row>
    <row r="195" spans="2:10" ht="13.2">
      <c r="B195" s="50"/>
      <c r="D195" s="51"/>
      <c r="I195" s="30"/>
      <c r="J195" s="30"/>
    </row>
    <row r="196" spans="2:10" ht="13.2">
      <c r="B196" s="50"/>
      <c r="D196" s="51"/>
      <c r="I196" s="30"/>
      <c r="J196" s="30"/>
    </row>
    <row r="197" spans="2:10" ht="13.2">
      <c r="B197" s="50"/>
      <c r="D197" s="51"/>
      <c r="I197" s="30"/>
      <c r="J197" s="30"/>
    </row>
    <row r="198" spans="2:10" ht="13.2">
      <c r="B198" s="50"/>
      <c r="D198" s="51"/>
      <c r="I198" s="30"/>
      <c r="J198" s="30"/>
    </row>
    <row r="199" spans="2:10" ht="13.2">
      <c r="B199" s="50"/>
      <c r="D199" s="51"/>
      <c r="I199" s="30"/>
      <c r="J199" s="30"/>
    </row>
    <row r="200" spans="2:10" ht="13.2">
      <c r="B200" s="50"/>
      <c r="D200" s="51"/>
      <c r="I200" s="30"/>
      <c r="J200" s="30"/>
    </row>
    <row r="201" spans="2:10" ht="13.2">
      <c r="B201" s="50"/>
      <c r="D201" s="51"/>
      <c r="I201" s="30"/>
      <c r="J201" s="30"/>
    </row>
    <row r="202" spans="2:10" ht="13.2">
      <c r="B202" s="50"/>
      <c r="D202" s="51"/>
      <c r="I202" s="30"/>
      <c r="J202" s="30"/>
    </row>
    <row r="203" spans="2:10" ht="13.2">
      <c r="B203" s="50"/>
      <c r="D203" s="51"/>
      <c r="I203" s="30"/>
      <c r="J203" s="30"/>
    </row>
    <row r="204" spans="2:10" ht="13.2">
      <c r="B204" s="50"/>
      <c r="D204" s="51"/>
      <c r="I204" s="30"/>
      <c r="J204" s="30"/>
    </row>
    <row r="205" spans="2:10" ht="13.2">
      <c r="B205" s="50"/>
      <c r="D205" s="51"/>
      <c r="I205" s="30"/>
      <c r="J205" s="30"/>
    </row>
    <row r="206" spans="2:10" ht="13.2">
      <c r="B206" s="50"/>
      <c r="D206" s="51"/>
      <c r="I206" s="30"/>
      <c r="J206" s="30"/>
    </row>
    <row r="207" spans="2:10" ht="13.2">
      <c r="B207" s="50"/>
      <c r="D207" s="51"/>
      <c r="I207" s="30"/>
      <c r="J207" s="30"/>
    </row>
    <row r="208" spans="2:10" ht="13.2">
      <c r="B208" s="50"/>
      <c r="D208" s="51"/>
      <c r="I208" s="30"/>
      <c r="J208" s="30"/>
    </row>
    <row r="209" spans="2:10" ht="13.2">
      <c r="B209" s="50"/>
      <c r="D209" s="51"/>
      <c r="I209" s="30"/>
      <c r="J209" s="30"/>
    </row>
    <row r="210" spans="2:10" ht="13.2">
      <c r="B210" s="50"/>
      <c r="D210" s="51"/>
      <c r="I210" s="30"/>
      <c r="J210" s="30"/>
    </row>
    <row r="211" spans="2:10" ht="13.2">
      <c r="B211" s="50"/>
      <c r="D211" s="51"/>
      <c r="I211" s="30"/>
      <c r="J211" s="30"/>
    </row>
    <row r="212" spans="2:10" ht="13.2">
      <c r="B212" s="50"/>
      <c r="D212" s="51"/>
      <c r="I212" s="30"/>
      <c r="J212" s="30"/>
    </row>
    <row r="213" spans="2:10" ht="13.2">
      <c r="B213" s="50"/>
      <c r="D213" s="51"/>
      <c r="I213" s="30"/>
      <c r="J213" s="30"/>
    </row>
    <row r="214" spans="2:10" ht="13.2">
      <c r="B214" s="50"/>
      <c r="D214" s="51"/>
      <c r="I214" s="30"/>
      <c r="J214" s="30"/>
    </row>
    <row r="215" spans="2:10" ht="13.2">
      <c r="B215" s="50"/>
      <c r="D215" s="51"/>
      <c r="I215" s="30"/>
      <c r="J215" s="30"/>
    </row>
    <row r="216" spans="2:10" ht="13.2">
      <c r="B216" s="50"/>
      <c r="D216" s="51"/>
      <c r="I216" s="30"/>
      <c r="J216" s="30"/>
    </row>
    <row r="217" spans="2:10" ht="13.2">
      <c r="B217" s="50"/>
      <c r="D217" s="51"/>
      <c r="I217" s="30"/>
      <c r="J217" s="30"/>
    </row>
    <row r="218" spans="2:10" ht="13.2">
      <c r="B218" s="50"/>
      <c r="D218" s="51"/>
      <c r="I218" s="30"/>
      <c r="J218" s="30"/>
    </row>
    <row r="219" spans="2:10" ht="13.2">
      <c r="B219" s="50"/>
      <c r="D219" s="51"/>
      <c r="I219" s="30"/>
      <c r="J219" s="30"/>
    </row>
    <row r="220" spans="2:10" ht="13.2">
      <c r="B220" s="50"/>
      <c r="D220" s="51"/>
      <c r="I220" s="30"/>
      <c r="J220" s="30"/>
    </row>
    <row r="221" spans="2:10" ht="13.2">
      <c r="B221" s="50"/>
      <c r="D221" s="51"/>
      <c r="I221" s="30"/>
      <c r="J221" s="30"/>
    </row>
    <row r="222" spans="2:10" ht="13.2">
      <c r="B222" s="50"/>
      <c r="D222" s="51"/>
      <c r="I222" s="30"/>
      <c r="J222" s="30"/>
    </row>
    <row r="223" spans="2:10" ht="13.2">
      <c r="B223" s="50"/>
      <c r="D223" s="51"/>
      <c r="I223" s="30"/>
      <c r="J223" s="30"/>
    </row>
    <row r="224" spans="2:10" ht="13.2">
      <c r="B224" s="50"/>
      <c r="D224" s="51"/>
      <c r="I224" s="30"/>
      <c r="J224" s="30"/>
    </row>
    <row r="225" spans="2:10" ht="13.2">
      <c r="B225" s="50"/>
      <c r="D225" s="51"/>
      <c r="I225" s="30"/>
      <c r="J225" s="30"/>
    </row>
    <row r="226" spans="2:10" ht="13.2">
      <c r="B226" s="50"/>
      <c r="D226" s="51"/>
      <c r="I226" s="30"/>
      <c r="J226" s="30"/>
    </row>
    <row r="227" spans="2:10" ht="13.2">
      <c r="B227" s="50"/>
      <c r="D227" s="51"/>
      <c r="I227" s="30"/>
      <c r="J227" s="30"/>
    </row>
    <row r="228" spans="2:10" ht="13.2">
      <c r="B228" s="50"/>
      <c r="D228" s="51"/>
      <c r="I228" s="30"/>
      <c r="J228" s="30"/>
    </row>
    <row r="229" spans="2:10" ht="13.2">
      <c r="B229" s="50"/>
      <c r="D229" s="51"/>
      <c r="I229" s="30"/>
      <c r="J229" s="30"/>
    </row>
    <row r="230" spans="2:10" ht="13.2">
      <c r="B230" s="50"/>
      <c r="D230" s="51"/>
      <c r="I230" s="30"/>
      <c r="J230" s="30"/>
    </row>
    <row r="231" spans="2:10" ht="13.2">
      <c r="B231" s="50"/>
      <c r="D231" s="51"/>
      <c r="I231" s="30"/>
      <c r="J231" s="30"/>
    </row>
    <row r="232" spans="2:10" ht="13.2">
      <c r="B232" s="50"/>
      <c r="D232" s="51"/>
      <c r="I232" s="30"/>
      <c r="J232" s="30"/>
    </row>
    <row r="233" spans="2:10" ht="13.2">
      <c r="B233" s="50"/>
      <c r="D233" s="51"/>
      <c r="I233" s="30"/>
      <c r="J233" s="30"/>
    </row>
    <row r="234" spans="2:10" ht="13.2">
      <c r="B234" s="50"/>
      <c r="D234" s="51"/>
      <c r="I234" s="30"/>
      <c r="J234" s="30"/>
    </row>
    <row r="235" spans="2:10" ht="13.2">
      <c r="B235" s="50"/>
      <c r="D235" s="51"/>
      <c r="I235" s="30"/>
      <c r="J235" s="30"/>
    </row>
    <row r="236" spans="2:10" ht="13.2">
      <c r="B236" s="50"/>
      <c r="D236" s="51"/>
      <c r="I236" s="30"/>
      <c r="J236" s="30"/>
    </row>
    <row r="237" spans="2:10" ht="13.2">
      <c r="B237" s="50"/>
      <c r="D237" s="51"/>
      <c r="I237" s="30"/>
      <c r="J237" s="30"/>
    </row>
    <row r="238" spans="2:10" ht="13.2">
      <c r="B238" s="50"/>
      <c r="D238" s="51"/>
      <c r="I238" s="30"/>
      <c r="J238" s="30"/>
    </row>
    <row r="239" spans="2:10" ht="13.2">
      <c r="B239" s="50"/>
      <c r="D239" s="51"/>
      <c r="I239" s="30"/>
      <c r="J239" s="30"/>
    </row>
    <row r="240" spans="2:10" ht="13.2">
      <c r="B240" s="50"/>
      <c r="D240" s="51"/>
      <c r="I240" s="30"/>
      <c r="J240" s="30"/>
    </row>
    <row r="241" spans="2:10" ht="13.2">
      <c r="B241" s="50"/>
      <c r="D241" s="51"/>
      <c r="I241" s="30"/>
      <c r="J241" s="30"/>
    </row>
    <row r="242" spans="2:10" ht="13.2">
      <c r="B242" s="50"/>
      <c r="D242" s="51"/>
      <c r="I242" s="30"/>
      <c r="J242" s="30"/>
    </row>
    <row r="243" spans="2:10" ht="13.2">
      <c r="B243" s="50"/>
      <c r="D243" s="51"/>
      <c r="I243" s="30"/>
      <c r="J243" s="30"/>
    </row>
    <row r="244" spans="2:10" ht="13.2">
      <c r="B244" s="50"/>
      <c r="D244" s="51"/>
      <c r="I244" s="30"/>
      <c r="J244" s="30"/>
    </row>
    <row r="245" spans="2:10" ht="13.2">
      <c r="B245" s="50"/>
      <c r="D245" s="51"/>
      <c r="I245" s="30"/>
      <c r="J245" s="30"/>
    </row>
    <row r="246" spans="2:10" ht="13.2">
      <c r="B246" s="50"/>
      <c r="D246" s="51"/>
      <c r="I246" s="30"/>
      <c r="J246" s="30"/>
    </row>
    <row r="247" spans="2:10" ht="13.2">
      <c r="B247" s="50"/>
      <c r="D247" s="51"/>
      <c r="I247" s="30"/>
      <c r="J247" s="30"/>
    </row>
    <row r="248" spans="2:10" ht="13.2">
      <c r="B248" s="50"/>
      <c r="D248" s="51"/>
      <c r="I248" s="30"/>
      <c r="J248" s="30"/>
    </row>
    <row r="249" spans="2:10" ht="13.2">
      <c r="B249" s="50"/>
      <c r="D249" s="51"/>
      <c r="I249" s="30"/>
      <c r="J249" s="30"/>
    </row>
    <row r="250" spans="2:10" ht="13.2">
      <c r="B250" s="50"/>
      <c r="D250" s="51"/>
      <c r="I250" s="30"/>
      <c r="J250" s="30"/>
    </row>
    <row r="251" spans="2:10" ht="13.2">
      <c r="B251" s="50"/>
      <c r="D251" s="51"/>
      <c r="I251" s="30"/>
      <c r="J251" s="30"/>
    </row>
    <row r="252" spans="2:10" ht="13.2">
      <c r="B252" s="50"/>
      <c r="D252" s="51"/>
      <c r="I252" s="30"/>
      <c r="J252" s="30"/>
    </row>
    <row r="253" spans="2:10" ht="13.2">
      <c r="B253" s="50"/>
      <c r="D253" s="51"/>
      <c r="I253" s="30"/>
      <c r="J253" s="30"/>
    </row>
    <row r="254" spans="2:10" ht="13.2">
      <c r="B254" s="50"/>
      <c r="D254" s="51"/>
      <c r="I254" s="30"/>
      <c r="J254" s="30"/>
    </row>
    <row r="255" spans="2:10" ht="13.2">
      <c r="B255" s="50"/>
      <c r="D255" s="51"/>
      <c r="I255" s="30"/>
      <c r="J255" s="30"/>
    </row>
    <row r="256" spans="2:10" ht="13.2">
      <c r="B256" s="50"/>
      <c r="D256" s="51"/>
      <c r="I256" s="30"/>
      <c r="J256" s="30"/>
    </row>
    <row r="257" spans="2:10" ht="13.2">
      <c r="B257" s="50"/>
      <c r="D257" s="51"/>
      <c r="I257" s="30"/>
      <c r="J257" s="30"/>
    </row>
    <row r="258" spans="2:10" ht="13.2">
      <c r="B258" s="50"/>
      <c r="D258" s="51"/>
      <c r="I258" s="30"/>
      <c r="J258" s="30"/>
    </row>
    <row r="259" spans="2:10" ht="13.2">
      <c r="B259" s="50"/>
      <c r="D259" s="51"/>
      <c r="I259" s="30"/>
      <c r="J259" s="30"/>
    </row>
    <row r="260" spans="2:10" ht="13.2">
      <c r="B260" s="50"/>
      <c r="D260" s="51"/>
      <c r="I260" s="30"/>
      <c r="J260" s="30"/>
    </row>
    <row r="261" spans="2:10" ht="13.2">
      <c r="B261" s="50"/>
      <c r="D261" s="51"/>
      <c r="I261" s="30"/>
      <c r="J261" s="30"/>
    </row>
    <row r="262" spans="2:10" ht="13.2">
      <c r="B262" s="50"/>
      <c r="D262" s="51"/>
      <c r="I262" s="30"/>
      <c r="J262" s="30"/>
    </row>
    <row r="263" spans="2:10" ht="13.2">
      <c r="B263" s="50"/>
      <c r="D263" s="51"/>
      <c r="I263" s="30"/>
      <c r="J263" s="30"/>
    </row>
    <row r="264" spans="2:10" ht="13.2">
      <c r="B264" s="50"/>
      <c r="D264" s="51"/>
      <c r="I264" s="30"/>
      <c r="J264" s="30"/>
    </row>
    <row r="265" spans="2:10" ht="13.2">
      <c r="B265" s="50"/>
      <c r="D265" s="51"/>
      <c r="I265" s="30"/>
      <c r="J265" s="30"/>
    </row>
    <row r="266" spans="2:10" ht="13.2">
      <c r="B266" s="50"/>
      <c r="D266" s="51"/>
      <c r="I266" s="30"/>
      <c r="J266" s="30"/>
    </row>
    <row r="267" spans="2:10" ht="13.2">
      <c r="B267" s="50"/>
      <c r="D267" s="51"/>
      <c r="I267" s="30"/>
      <c r="J267" s="30"/>
    </row>
    <row r="268" spans="2:10" ht="13.2">
      <c r="B268" s="50"/>
      <c r="D268" s="51"/>
      <c r="I268" s="30"/>
      <c r="J268" s="30"/>
    </row>
    <row r="269" spans="2:10" ht="13.2">
      <c r="B269" s="50"/>
      <c r="D269" s="51"/>
      <c r="I269" s="30"/>
      <c r="J269" s="30"/>
    </row>
    <row r="270" spans="2:10" ht="13.2">
      <c r="B270" s="50"/>
      <c r="D270" s="51"/>
      <c r="I270" s="30"/>
      <c r="J270" s="30"/>
    </row>
    <row r="271" spans="2:10" ht="13.2">
      <c r="B271" s="50"/>
      <c r="D271" s="51"/>
      <c r="I271" s="30"/>
      <c r="J271" s="30"/>
    </row>
    <row r="272" spans="2:10" ht="13.2">
      <c r="B272" s="50"/>
      <c r="D272" s="51"/>
      <c r="I272" s="30"/>
      <c r="J272" s="30"/>
    </row>
    <row r="273" spans="2:10" ht="13.2">
      <c r="B273" s="50"/>
      <c r="D273" s="51"/>
      <c r="I273" s="30"/>
      <c r="J273" s="30"/>
    </row>
    <row r="274" spans="2:10" ht="13.2">
      <c r="B274" s="50"/>
      <c r="D274" s="51"/>
      <c r="I274" s="30"/>
      <c r="J274" s="30"/>
    </row>
    <row r="275" spans="2:10" ht="13.2">
      <c r="B275" s="50"/>
      <c r="D275" s="51"/>
      <c r="I275" s="30"/>
      <c r="J275" s="30"/>
    </row>
    <row r="276" spans="2:10" ht="13.2">
      <c r="B276" s="50"/>
      <c r="D276" s="51"/>
      <c r="I276" s="30"/>
      <c r="J276" s="30"/>
    </row>
    <row r="277" spans="2:10" ht="13.2">
      <c r="B277" s="50"/>
      <c r="D277" s="51"/>
      <c r="I277" s="30"/>
      <c r="J277" s="30"/>
    </row>
    <row r="278" spans="2:10" ht="13.2">
      <c r="B278" s="50"/>
      <c r="D278" s="51"/>
      <c r="I278" s="30"/>
      <c r="J278" s="30"/>
    </row>
    <row r="279" spans="2:10" ht="13.2">
      <c r="B279" s="50"/>
      <c r="D279" s="51"/>
      <c r="I279" s="30"/>
      <c r="J279" s="30"/>
    </row>
    <row r="280" spans="2:10" ht="13.2">
      <c r="B280" s="50"/>
      <c r="D280" s="51"/>
      <c r="I280" s="30"/>
      <c r="J280" s="30"/>
    </row>
    <row r="281" spans="2:10" ht="13.2">
      <c r="B281" s="50"/>
      <c r="D281" s="51"/>
      <c r="I281" s="30"/>
      <c r="J281" s="30"/>
    </row>
    <row r="282" spans="2:10" ht="13.2">
      <c r="B282" s="50"/>
      <c r="D282" s="51"/>
      <c r="I282" s="30"/>
      <c r="J282" s="30"/>
    </row>
    <row r="283" spans="2:10" ht="13.2">
      <c r="B283" s="50"/>
      <c r="D283" s="51"/>
      <c r="I283" s="30"/>
      <c r="J283" s="30"/>
    </row>
    <row r="284" spans="2:10" ht="13.2">
      <c r="B284" s="50"/>
      <c r="D284" s="51"/>
      <c r="I284" s="30"/>
      <c r="J284" s="30"/>
    </row>
    <row r="285" spans="2:10" ht="13.2">
      <c r="B285" s="50"/>
      <c r="D285" s="51"/>
      <c r="I285" s="30"/>
      <c r="J285" s="30"/>
    </row>
    <row r="286" spans="2:10" ht="13.2">
      <c r="B286" s="50"/>
      <c r="D286" s="51"/>
      <c r="I286" s="30"/>
      <c r="J286" s="30"/>
    </row>
    <row r="287" spans="2:10" ht="13.2">
      <c r="B287" s="50"/>
      <c r="D287" s="51"/>
      <c r="I287" s="30"/>
      <c r="J287" s="30"/>
    </row>
    <row r="288" spans="2:10" ht="13.2">
      <c r="B288" s="50"/>
      <c r="D288" s="51"/>
      <c r="I288" s="30"/>
      <c r="J288" s="30"/>
    </row>
    <row r="289" spans="2:10" ht="13.2">
      <c r="B289" s="50"/>
      <c r="D289" s="51"/>
      <c r="I289" s="30"/>
      <c r="J289" s="30"/>
    </row>
    <row r="290" spans="2:10" ht="13.2">
      <c r="B290" s="50"/>
      <c r="D290" s="51"/>
      <c r="I290" s="30"/>
      <c r="J290" s="30"/>
    </row>
    <row r="291" spans="2:10" ht="13.2">
      <c r="B291" s="50"/>
      <c r="D291" s="51"/>
      <c r="I291" s="30"/>
      <c r="J291" s="30"/>
    </row>
    <row r="292" spans="2:10" ht="13.2">
      <c r="B292" s="50"/>
      <c r="D292" s="51"/>
      <c r="I292" s="30"/>
      <c r="J292" s="30"/>
    </row>
    <row r="293" spans="2:10" ht="13.2">
      <c r="B293" s="50"/>
      <c r="D293" s="51"/>
      <c r="I293" s="30"/>
      <c r="J293" s="30"/>
    </row>
    <row r="294" spans="2:10" ht="13.2">
      <c r="B294" s="50"/>
      <c r="D294" s="51"/>
      <c r="I294" s="30"/>
      <c r="J294" s="30"/>
    </row>
    <row r="295" spans="2:10" ht="13.2">
      <c r="B295" s="50"/>
      <c r="D295" s="51"/>
      <c r="I295" s="30"/>
      <c r="J295" s="30"/>
    </row>
    <row r="296" spans="2:10" ht="13.2">
      <c r="B296" s="50"/>
      <c r="D296" s="51"/>
      <c r="I296" s="30"/>
      <c r="J296" s="30"/>
    </row>
    <row r="297" spans="2:10" ht="13.2">
      <c r="B297" s="50"/>
      <c r="D297" s="51"/>
      <c r="I297" s="30"/>
      <c r="J297" s="30"/>
    </row>
    <row r="298" spans="2:10" ht="13.2">
      <c r="B298" s="50"/>
      <c r="D298" s="51"/>
      <c r="I298" s="30"/>
      <c r="J298" s="30"/>
    </row>
    <row r="299" spans="2:10" ht="13.2">
      <c r="B299" s="50"/>
      <c r="D299" s="51"/>
      <c r="I299" s="30"/>
      <c r="J299" s="30"/>
    </row>
    <row r="300" spans="2:10" ht="13.2">
      <c r="B300" s="50"/>
      <c r="D300" s="51"/>
      <c r="I300" s="30"/>
      <c r="J300" s="30"/>
    </row>
    <row r="301" spans="2:10" ht="13.2">
      <c r="B301" s="50"/>
      <c r="D301" s="51"/>
      <c r="I301" s="30"/>
      <c r="J301" s="30"/>
    </row>
    <row r="302" spans="2:10" ht="13.2">
      <c r="B302" s="50"/>
      <c r="D302" s="51"/>
      <c r="I302" s="30"/>
      <c r="J302" s="30"/>
    </row>
    <row r="303" spans="2:10" ht="13.2">
      <c r="B303" s="50"/>
      <c r="D303" s="51"/>
      <c r="I303" s="30"/>
      <c r="J303" s="30"/>
    </row>
    <row r="304" spans="2:10" ht="13.2">
      <c r="B304" s="50"/>
      <c r="D304" s="51"/>
      <c r="I304" s="30"/>
      <c r="J304" s="30"/>
    </row>
    <row r="305" spans="2:10" ht="13.2">
      <c r="B305" s="50"/>
      <c r="D305" s="51"/>
      <c r="I305" s="30"/>
      <c r="J305" s="30"/>
    </row>
    <row r="306" spans="2:10" ht="13.2">
      <c r="B306" s="50"/>
      <c r="D306" s="51"/>
      <c r="I306" s="30"/>
      <c r="J306" s="30"/>
    </row>
    <row r="307" spans="2:10" ht="13.2">
      <c r="B307" s="50"/>
      <c r="D307" s="51"/>
      <c r="I307" s="30"/>
      <c r="J307" s="30"/>
    </row>
    <row r="308" spans="2:10" ht="13.2">
      <c r="B308" s="50"/>
      <c r="D308" s="51"/>
      <c r="I308" s="30"/>
      <c r="J308" s="30"/>
    </row>
    <row r="309" spans="2:10" ht="13.2">
      <c r="B309" s="50"/>
      <c r="D309" s="51"/>
      <c r="I309" s="30"/>
      <c r="J309" s="30"/>
    </row>
    <row r="310" spans="2:10" ht="13.2">
      <c r="B310" s="50"/>
      <c r="D310" s="51"/>
      <c r="I310" s="30"/>
      <c r="J310" s="30"/>
    </row>
    <row r="311" spans="2:10" ht="13.2">
      <c r="B311" s="50"/>
      <c r="D311" s="51"/>
      <c r="I311" s="30"/>
      <c r="J311" s="30"/>
    </row>
    <row r="312" spans="2:10" ht="13.2">
      <c r="B312" s="50"/>
      <c r="D312" s="51"/>
      <c r="I312" s="30"/>
      <c r="J312" s="30"/>
    </row>
    <row r="313" spans="2:10" ht="13.2">
      <c r="B313" s="50"/>
      <c r="D313" s="51"/>
      <c r="I313" s="30"/>
      <c r="J313" s="30"/>
    </row>
    <row r="314" spans="2:10" ht="13.2">
      <c r="B314" s="50"/>
      <c r="D314" s="51"/>
      <c r="I314" s="30"/>
      <c r="J314" s="30"/>
    </row>
    <row r="315" spans="2:10" ht="13.2">
      <c r="B315" s="50"/>
      <c r="D315" s="51"/>
      <c r="I315" s="30"/>
      <c r="J315" s="30"/>
    </row>
    <row r="316" spans="2:10" ht="13.2">
      <c r="B316" s="50"/>
      <c r="D316" s="51"/>
      <c r="I316" s="30"/>
      <c r="J316" s="30"/>
    </row>
    <row r="317" spans="2:10" ht="13.2">
      <c r="B317" s="50"/>
      <c r="D317" s="51"/>
      <c r="I317" s="30"/>
      <c r="J317" s="30"/>
    </row>
    <row r="318" spans="2:10" ht="13.2">
      <c r="B318" s="50"/>
      <c r="D318" s="51"/>
      <c r="I318" s="30"/>
      <c r="J318" s="30"/>
    </row>
    <row r="319" spans="2:10" ht="13.2">
      <c r="B319" s="50"/>
      <c r="D319" s="51"/>
      <c r="I319" s="30"/>
      <c r="J319" s="30"/>
    </row>
    <row r="320" spans="2:10" ht="13.2">
      <c r="B320" s="50"/>
      <c r="D320" s="51"/>
      <c r="I320" s="30"/>
      <c r="J320" s="30"/>
    </row>
    <row r="321" spans="2:10" ht="13.2">
      <c r="B321" s="50"/>
      <c r="D321" s="51"/>
      <c r="I321" s="30"/>
      <c r="J321" s="30"/>
    </row>
    <row r="322" spans="2:10" ht="13.2">
      <c r="B322" s="50"/>
      <c r="D322" s="51"/>
      <c r="I322" s="30"/>
      <c r="J322" s="30"/>
    </row>
    <row r="323" spans="2:10" ht="13.2">
      <c r="B323" s="50"/>
      <c r="D323" s="51"/>
      <c r="I323" s="30"/>
      <c r="J323" s="30"/>
    </row>
    <row r="324" spans="2:10" ht="13.2">
      <c r="B324" s="50"/>
      <c r="D324" s="51"/>
      <c r="I324" s="30"/>
      <c r="J324" s="30"/>
    </row>
    <row r="325" spans="2:10" ht="13.2">
      <c r="B325" s="50"/>
      <c r="D325" s="51"/>
      <c r="I325" s="30"/>
      <c r="J325" s="30"/>
    </row>
    <row r="326" spans="2:10" ht="13.2">
      <c r="B326" s="50"/>
      <c r="D326" s="51"/>
      <c r="I326" s="30"/>
      <c r="J326" s="30"/>
    </row>
    <row r="327" spans="2:10" ht="13.2">
      <c r="B327" s="50"/>
      <c r="D327" s="51"/>
      <c r="I327" s="30"/>
      <c r="J327" s="30"/>
    </row>
    <row r="328" spans="2:10" ht="13.2">
      <c r="B328" s="50"/>
      <c r="D328" s="51"/>
      <c r="I328" s="30"/>
      <c r="J328" s="30"/>
    </row>
    <row r="329" spans="2:10" ht="13.2">
      <c r="B329" s="50"/>
      <c r="D329" s="51"/>
      <c r="I329" s="30"/>
      <c r="J329" s="30"/>
    </row>
    <row r="330" spans="2:10" ht="13.2">
      <c r="B330" s="50"/>
      <c r="D330" s="51"/>
      <c r="I330" s="30"/>
      <c r="J330" s="30"/>
    </row>
    <row r="331" spans="2:10" ht="13.2">
      <c r="B331" s="50"/>
      <c r="D331" s="51"/>
      <c r="I331" s="30"/>
      <c r="J331" s="30"/>
    </row>
    <row r="332" spans="2:10" ht="13.2">
      <c r="B332" s="50"/>
      <c r="D332" s="51"/>
      <c r="I332" s="30"/>
      <c r="J332" s="30"/>
    </row>
    <row r="333" spans="2:10" ht="13.2">
      <c r="B333" s="50"/>
      <c r="D333" s="51"/>
      <c r="I333" s="30"/>
      <c r="J333" s="30"/>
    </row>
    <row r="334" spans="2:10" ht="13.2">
      <c r="B334" s="50"/>
      <c r="D334" s="51"/>
      <c r="I334" s="30"/>
      <c r="J334" s="30"/>
    </row>
    <row r="335" spans="2:10" ht="13.2">
      <c r="B335" s="50"/>
      <c r="D335" s="51"/>
      <c r="I335" s="30"/>
      <c r="J335" s="30"/>
    </row>
    <row r="336" spans="2:10" ht="13.2">
      <c r="B336" s="50"/>
      <c r="D336" s="51"/>
      <c r="I336" s="30"/>
      <c r="J336" s="30"/>
    </row>
    <row r="337" spans="2:10" ht="13.2">
      <c r="B337" s="50"/>
      <c r="D337" s="51"/>
      <c r="I337" s="30"/>
      <c r="J337" s="30"/>
    </row>
    <row r="338" spans="2:10" ht="13.2">
      <c r="B338" s="50"/>
      <c r="D338" s="51"/>
      <c r="I338" s="30"/>
      <c r="J338" s="30"/>
    </row>
    <row r="339" spans="2:10" ht="13.2">
      <c r="B339" s="50"/>
      <c r="D339" s="51"/>
      <c r="I339" s="30"/>
      <c r="J339" s="30"/>
    </row>
    <row r="340" spans="2:10" ht="13.2">
      <c r="B340" s="50"/>
      <c r="D340" s="51"/>
      <c r="I340" s="30"/>
      <c r="J340" s="30"/>
    </row>
    <row r="341" spans="2:10" ht="13.2">
      <c r="B341" s="50"/>
      <c r="D341" s="51"/>
      <c r="I341" s="30"/>
      <c r="J341" s="30"/>
    </row>
    <row r="342" spans="2:10" ht="13.2">
      <c r="B342" s="50"/>
      <c r="D342" s="51"/>
      <c r="I342" s="30"/>
      <c r="J342" s="30"/>
    </row>
    <row r="343" spans="2:10" ht="13.2">
      <c r="B343" s="50"/>
      <c r="D343" s="51"/>
      <c r="I343" s="30"/>
      <c r="J343" s="30"/>
    </row>
    <row r="344" spans="2:10" ht="13.2">
      <c r="B344" s="50"/>
      <c r="D344" s="51"/>
      <c r="I344" s="30"/>
      <c r="J344" s="30"/>
    </row>
    <row r="345" spans="2:10" ht="13.2">
      <c r="B345" s="50"/>
      <c r="D345" s="51"/>
      <c r="I345" s="30"/>
      <c r="J345" s="30"/>
    </row>
    <row r="346" spans="2:10" ht="13.2">
      <c r="B346" s="50"/>
      <c r="D346" s="51"/>
      <c r="I346" s="30"/>
      <c r="J346" s="30"/>
    </row>
    <row r="347" spans="2:10" ht="13.2">
      <c r="B347" s="50"/>
      <c r="D347" s="51"/>
      <c r="I347" s="30"/>
      <c r="J347" s="30"/>
    </row>
    <row r="348" spans="2:10" ht="13.2">
      <c r="B348" s="50"/>
      <c r="D348" s="51"/>
      <c r="I348" s="30"/>
      <c r="J348" s="30"/>
    </row>
    <row r="349" spans="2:10" ht="13.2">
      <c r="B349" s="50"/>
      <c r="D349" s="51"/>
      <c r="I349" s="30"/>
      <c r="J349" s="30"/>
    </row>
    <row r="350" spans="2:10" ht="13.2">
      <c r="B350" s="50"/>
      <c r="D350" s="51"/>
      <c r="I350" s="30"/>
      <c r="J350" s="30"/>
    </row>
    <row r="351" spans="2:10" ht="13.2">
      <c r="B351" s="50"/>
      <c r="D351" s="51"/>
      <c r="I351" s="30"/>
      <c r="J351" s="30"/>
    </row>
    <row r="352" spans="2:10" ht="13.2">
      <c r="B352" s="50"/>
      <c r="D352" s="51"/>
      <c r="I352" s="30"/>
      <c r="J352" s="30"/>
    </row>
    <row r="353" spans="2:10" ht="13.2">
      <c r="B353" s="50"/>
      <c r="D353" s="51"/>
      <c r="I353" s="30"/>
      <c r="J353" s="30"/>
    </row>
    <row r="354" spans="2:10" ht="13.2">
      <c r="B354" s="50"/>
      <c r="D354" s="51"/>
      <c r="I354" s="30"/>
      <c r="J354" s="30"/>
    </row>
    <row r="355" spans="2:10" ht="13.2">
      <c r="B355" s="50"/>
      <c r="D355" s="51"/>
      <c r="I355" s="30"/>
      <c r="J355" s="30"/>
    </row>
    <row r="356" spans="2:10" ht="13.2">
      <c r="B356" s="50"/>
      <c r="D356" s="51"/>
      <c r="I356" s="30"/>
      <c r="J356" s="30"/>
    </row>
    <row r="357" spans="2:10" ht="13.2">
      <c r="B357" s="50"/>
      <c r="D357" s="51"/>
      <c r="I357" s="30"/>
      <c r="J357" s="30"/>
    </row>
    <row r="358" spans="2:10" ht="13.2">
      <c r="B358" s="50"/>
      <c r="D358" s="51"/>
      <c r="I358" s="30"/>
      <c r="J358" s="30"/>
    </row>
    <row r="359" spans="2:10" ht="13.2">
      <c r="B359" s="50"/>
      <c r="D359" s="51"/>
      <c r="I359" s="30"/>
      <c r="J359" s="30"/>
    </row>
    <row r="360" spans="2:10" ht="13.2">
      <c r="B360" s="50"/>
      <c r="D360" s="51"/>
      <c r="I360" s="30"/>
      <c r="J360" s="30"/>
    </row>
    <row r="361" spans="2:10" ht="13.2">
      <c r="B361" s="50"/>
      <c r="D361" s="51"/>
      <c r="I361" s="30"/>
      <c r="J361" s="30"/>
    </row>
    <row r="362" spans="2:10" ht="13.2">
      <c r="B362" s="50"/>
      <c r="D362" s="51"/>
      <c r="I362" s="30"/>
      <c r="J362" s="30"/>
    </row>
    <row r="363" spans="2:10" ht="13.2">
      <c r="B363" s="50"/>
      <c r="D363" s="51"/>
      <c r="I363" s="30"/>
      <c r="J363" s="30"/>
    </row>
    <row r="364" spans="2:10" ht="13.2">
      <c r="B364" s="50"/>
      <c r="D364" s="51"/>
      <c r="I364" s="30"/>
      <c r="J364" s="30"/>
    </row>
    <row r="365" spans="2:10" ht="13.2">
      <c r="B365" s="50"/>
      <c r="D365" s="51"/>
      <c r="I365" s="30"/>
      <c r="J365" s="30"/>
    </row>
    <row r="366" spans="2:10" ht="13.2">
      <c r="B366" s="50"/>
      <c r="D366" s="51"/>
      <c r="I366" s="30"/>
      <c r="J366" s="30"/>
    </row>
    <row r="367" spans="2:10" ht="13.2">
      <c r="B367" s="50"/>
      <c r="D367" s="51"/>
      <c r="I367" s="30"/>
      <c r="J367" s="30"/>
    </row>
    <row r="368" spans="2:10" ht="13.2">
      <c r="B368" s="50"/>
      <c r="D368" s="51"/>
      <c r="I368" s="30"/>
      <c r="J368" s="30"/>
    </row>
    <row r="369" spans="2:10" ht="13.2">
      <c r="B369" s="50"/>
      <c r="D369" s="51"/>
      <c r="I369" s="30"/>
      <c r="J369" s="30"/>
    </row>
    <row r="370" spans="2:10" ht="13.2">
      <c r="B370" s="50"/>
      <c r="D370" s="51"/>
      <c r="I370" s="30"/>
      <c r="J370" s="30"/>
    </row>
    <row r="371" spans="2:10" ht="13.2">
      <c r="B371" s="50"/>
      <c r="D371" s="51"/>
      <c r="I371" s="30"/>
      <c r="J371" s="30"/>
    </row>
    <row r="372" spans="2:10" ht="13.2">
      <c r="B372" s="50"/>
      <c r="D372" s="51"/>
      <c r="I372" s="30"/>
      <c r="J372" s="30"/>
    </row>
    <row r="373" spans="2:10" ht="13.2">
      <c r="B373" s="50"/>
      <c r="D373" s="51"/>
      <c r="I373" s="30"/>
      <c r="J373" s="30"/>
    </row>
    <row r="374" spans="2:10" ht="13.2">
      <c r="B374" s="50"/>
      <c r="D374" s="51"/>
      <c r="I374" s="30"/>
      <c r="J374" s="30"/>
    </row>
    <row r="375" spans="2:10" ht="13.2">
      <c r="B375" s="50"/>
      <c r="D375" s="51"/>
      <c r="I375" s="30"/>
      <c r="J375" s="30"/>
    </row>
    <row r="376" spans="2:10" ht="13.2">
      <c r="B376" s="50"/>
      <c r="D376" s="51"/>
      <c r="I376" s="30"/>
      <c r="J376" s="30"/>
    </row>
    <row r="377" spans="2:10" ht="13.2">
      <c r="B377" s="50"/>
      <c r="D377" s="51"/>
      <c r="I377" s="30"/>
      <c r="J377" s="30"/>
    </row>
    <row r="378" spans="2:10" ht="13.2">
      <c r="B378" s="50"/>
      <c r="D378" s="51"/>
      <c r="I378" s="30"/>
      <c r="J378" s="30"/>
    </row>
    <row r="379" spans="2:10" ht="13.2">
      <c r="B379" s="50"/>
      <c r="D379" s="51"/>
      <c r="I379" s="30"/>
      <c r="J379" s="30"/>
    </row>
    <row r="380" spans="2:10" ht="13.2">
      <c r="B380" s="50"/>
      <c r="D380" s="51"/>
      <c r="I380" s="30"/>
      <c r="J380" s="30"/>
    </row>
    <row r="381" spans="2:10" ht="13.2">
      <c r="B381" s="50"/>
      <c r="D381" s="51"/>
      <c r="I381" s="30"/>
      <c r="J381" s="30"/>
    </row>
    <row r="382" spans="2:10" ht="13.2">
      <c r="B382" s="50"/>
      <c r="D382" s="51"/>
      <c r="I382" s="30"/>
      <c r="J382" s="30"/>
    </row>
    <row r="383" spans="2:10" ht="13.2">
      <c r="B383" s="50"/>
      <c r="D383" s="51"/>
      <c r="I383" s="30"/>
      <c r="J383" s="30"/>
    </row>
    <row r="384" spans="2:10" ht="13.2">
      <c r="B384" s="50"/>
      <c r="D384" s="51"/>
      <c r="I384" s="30"/>
      <c r="J384" s="30"/>
    </row>
    <row r="385" spans="2:10" ht="13.2">
      <c r="B385" s="50"/>
      <c r="D385" s="51"/>
      <c r="I385" s="30"/>
      <c r="J385" s="30"/>
    </row>
    <row r="386" spans="2:10" ht="13.2">
      <c r="B386" s="50"/>
      <c r="D386" s="51"/>
      <c r="I386" s="30"/>
      <c r="J386" s="30"/>
    </row>
    <row r="387" spans="2:10" ht="13.2">
      <c r="B387" s="50"/>
      <c r="D387" s="51"/>
      <c r="I387" s="30"/>
      <c r="J387" s="30"/>
    </row>
    <row r="388" spans="2:10" ht="13.2">
      <c r="B388" s="50"/>
      <c r="D388" s="51"/>
      <c r="I388" s="30"/>
      <c r="J388" s="30"/>
    </row>
    <row r="389" spans="2:10" ht="13.2">
      <c r="B389" s="50"/>
      <c r="D389" s="51"/>
      <c r="I389" s="30"/>
      <c r="J389" s="30"/>
    </row>
    <row r="390" spans="2:10" ht="13.2">
      <c r="B390" s="50"/>
      <c r="D390" s="51"/>
      <c r="I390" s="30"/>
      <c r="J390" s="30"/>
    </row>
    <row r="391" spans="2:10" ht="13.2">
      <c r="B391" s="50"/>
      <c r="D391" s="51"/>
      <c r="I391" s="30"/>
      <c r="J391" s="30"/>
    </row>
    <row r="392" spans="2:10" ht="13.2">
      <c r="B392" s="50"/>
      <c r="D392" s="51"/>
      <c r="I392" s="30"/>
      <c r="J392" s="30"/>
    </row>
    <row r="393" spans="2:10" ht="13.2">
      <c r="B393" s="50"/>
      <c r="D393" s="51"/>
      <c r="I393" s="30"/>
      <c r="J393" s="30"/>
    </row>
    <row r="394" spans="2:10" ht="13.2">
      <c r="B394" s="50"/>
      <c r="D394" s="51"/>
      <c r="I394" s="30"/>
      <c r="J394" s="30"/>
    </row>
    <row r="395" spans="2:10" ht="13.2">
      <c r="B395" s="50"/>
      <c r="D395" s="51"/>
      <c r="I395" s="30"/>
      <c r="J395" s="30"/>
    </row>
    <row r="396" spans="2:10" ht="13.2">
      <c r="B396" s="50"/>
      <c r="D396" s="51"/>
      <c r="I396" s="30"/>
      <c r="J396" s="30"/>
    </row>
    <row r="397" spans="2:10" ht="13.2">
      <c r="B397" s="50"/>
      <c r="D397" s="51"/>
      <c r="I397" s="30"/>
      <c r="J397" s="30"/>
    </row>
    <row r="398" spans="2:10" ht="13.2">
      <c r="B398" s="50"/>
      <c r="D398" s="51"/>
      <c r="I398" s="30"/>
      <c r="J398" s="30"/>
    </row>
    <row r="399" spans="2:10" ht="13.2">
      <c r="B399" s="50"/>
      <c r="D399" s="51"/>
      <c r="I399" s="30"/>
      <c r="J399" s="30"/>
    </row>
    <row r="400" spans="2:10" ht="13.2">
      <c r="B400" s="50"/>
      <c r="D400" s="51"/>
      <c r="I400" s="30"/>
      <c r="J400" s="30"/>
    </row>
    <row r="401" spans="2:10" ht="13.2">
      <c r="B401" s="50"/>
      <c r="D401" s="51"/>
      <c r="I401" s="30"/>
      <c r="J401" s="30"/>
    </row>
    <row r="402" spans="2:10" ht="13.2">
      <c r="B402" s="50"/>
      <c r="D402" s="51"/>
      <c r="I402" s="30"/>
      <c r="J402" s="30"/>
    </row>
    <row r="403" spans="2:10" ht="13.2">
      <c r="B403" s="50"/>
      <c r="D403" s="51"/>
      <c r="I403" s="30"/>
      <c r="J403" s="30"/>
    </row>
    <row r="404" spans="2:10" ht="13.2">
      <c r="B404" s="50"/>
      <c r="D404" s="51"/>
      <c r="I404" s="30"/>
      <c r="J404" s="30"/>
    </row>
    <row r="405" spans="2:10" ht="13.2">
      <c r="B405" s="50"/>
      <c r="D405" s="51"/>
      <c r="I405" s="30"/>
      <c r="J405" s="30"/>
    </row>
    <row r="406" spans="2:10" ht="13.2">
      <c r="B406" s="50"/>
      <c r="D406" s="51"/>
      <c r="I406" s="30"/>
      <c r="J406" s="30"/>
    </row>
    <row r="407" spans="2:10" ht="13.2">
      <c r="B407" s="50"/>
      <c r="D407" s="51"/>
      <c r="I407" s="30"/>
      <c r="J407" s="30"/>
    </row>
    <row r="408" spans="2:10" ht="13.2">
      <c r="B408" s="50"/>
      <c r="D408" s="51"/>
      <c r="I408" s="30"/>
      <c r="J408" s="30"/>
    </row>
    <row r="409" spans="2:10" ht="13.2">
      <c r="B409" s="50"/>
      <c r="D409" s="51"/>
      <c r="I409" s="30"/>
      <c r="J409" s="30"/>
    </row>
    <row r="410" spans="2:10" ht="13.2">
      <c r="B410" s="50"/>
      <c r="D410" s="51"/>
      <c r="I410" s="30"/>
      <c r="J410" s="30"/>
    </row>
    <row r="411" spans="2:10" ht="13.2">
      <c r="B411" s="50"/>
      <c r="D411" s="51"/>
      <c r="I411" s="30"/>
      <c r="J411" s="30"/>
    </row>
    <row r="412" spans="2:10" ht="13.2">
      <c r="B412" s="50"/>
      <c r="D412" s="51"/>
      <c r="I412" s="30"/>
      <c r="J412" s="30"/>
    </row>
    <row r="413" spans="2:10" ht="13.2">
      <c r="B413" s="50"/>
      <c r="D413" s="51"/>
      <c r="I413" s="30"/>
      <c r="J413" s="30"/>
    </row>
    <row r="414" spans="2:10" ht="13.2">
      <c r="B414" s="50"/>
      <c r="D414" s="51"/>
      <c r="I414" s="30"/>
      <c r="J414" s="30"/>
    </row>
    <row r="415" spans="2:10" ht="13.2">
      <c r="B415" s="50"/>
      <c r="D415" s="51"/>
      <c r="I415" s="30"/>
      <c r="J415" s="30"/>
    </row>
    <row r="416" spans="2:10" ht="13.2">
      <c r="B416" s="50"/>
      <c r="D416" s="51"/>
      <c r="I416" s="30"/>
      <c r="J416" s="30"/>
    </row>
    <row r="417" spans="2:10" ht="13.2">
      <c r="B417" s="50"/>
      <c r="D417" s="51"/>
      <c r="I417" s="30"/>
      <c r="J417" s="30"/>
    </row>
    <row r="418" spans="2:10" ht="13.2">
      <c r="B418" s="50"/>
      <c r="D418" s="51"/>
      <c r="I418" s="30"/>
      <c r="J418" s="30"/>
    </row>
    <row r="419" spans="2:10" ht="13.2">
      <c r="B419" s="50"/>
      <c r="D419" s="51"/>
      <c r="I419" s="30"/>
      <c r="J419" s="30"/>
    </row>
    <row r="420" spans="2:10" ht="13.2">
      <c r="B420" s="50"/>
      <c r="D420" s="51"/>
      <c r="I420" s="30"/>
      <c r="J420" s="30"/>
    </row>
    <row r="421" spans="2:10" ht="13.2">
      <c r="B421" s="50"/>
      <c r="D421" s="51"/>
      <c r="I421" s="30"/>
      <c r="J421" s="30"/>
    </row>
    <row r="422" spans="2:10" ht="13.2">
      <c r="B422" s="50"/>
      <c r="D422" s="51"/>
      <c r="I422" s="30"/>
      <c r="J422" s="30"/>
    </row>
    <row r="423" spans="2:10" ht="13.2">
      <c r="B423" s="50"/>
      <c r="D423" s="51"/>
      <c r="I423" s="30"/>
      <c r="J423" s="30"/>
    </row>
    <row r="424" spans="2:10" ht="13.2">
      <c r="B424" s="50"/>
      <c r="D424" s="51"/>
      <c r="I424" s="30"/>
      <c r="J424" s="30"/>
    </row>
    <row r="425" spans="2:10" ht="13.2">
      <c r="B425" s="50"/>
      <c r="D425" s="51"/>
      <c r="I425" s="30"/>
      <c r="J425" s="30"/>
    </row>
    <row r="426" spans="2:10" ht="13.2">
      <c r="B426" s="50"/>
      <c r="D426" s="51"/>
      <c r="I426" s="30"/>
      <c r="J426" s="30"/>
    </row>
    <row r="427" spans="2:10" ht="13.2">
      <c r="B427" s="50"/>
      <c r="D427" s="51"/>
      <c r="I427" s="30"/>
      <c r="J427" s="30"/>
    </row>
    <row r="428" spans="2:10" ht="13.2">
      <c r="B428" s="50"/>
      <c r="D428" s="51"/>
      <c r="I428" s="30"/>
      <c r="J428" s="30"/>
    </row>
    <row r="429" spans="2:10" ht="13.2">
      <c r="B429" s="50"/>
      <c r="D429" s="51"/>
      <c r="I429" s="30"/>
      <c r="J429" s="30"/>
    </row>
    <row r="430" spans="2:10" ht="13.2">
      <c r="B430" s="50"/>
      <c r="D430" s="51"/>
      <c r="I430" s="30"/>
      <c r="J430" s="30"/>
    </row>
    <row r="431" spans="2:10" ht="13.2">
      <c r="B431" s="50"/>
      <c r="D431" s="51"/>
      <c r="I431" s="30"/>
      <c r="J431" s="30"/>
    </row>
    <row r="432" spans="2:10" ht="13.2">
      <c r="B432" s="50"/>
      <c r="D432" s="51"/>
      <c r="I432" s="30"/>
      <c r="J432" s="30"/>
    </row>
    <row r="433" spans="2:10" ht="13.2">
      <c r="B433" s="50"/>
      <c r="D433" s="51"/>
      <c r="I433" s="30"/>
      <c r="J433" s="30"/>
    </row>
    <row r="434" spans="2:10" ht="13.2">
      <c r="B434" s="50"/>
      <c r="D434" s="51"/>
      <c r="I434" s="30"/>
      <c r="J434" s="30"/>
    </row>
    <row r="435" spans="2:10" ht="13.2">
      <c r="B435" s="50"/>
      <c r="D435" s="51"/>
      <c r="I435" s="30"/>
      <c r="J435" s="30"/>
    </row>
    <row r="436" spans="2:10" ht="13.2">
      <c r="B436" s="50"/>
      <c r="D436" s="51"/>
      <c r="I436" s="30"/>
      <c r="J436" s="30"/>
    </row>
    <row r="437" spans="2:10" ht="13.2">
      <c r="B437" s="50"/>
      <c r="D437" s="51"/>
      <c r="I437" s="30"/>
      <c r="J437" s="30"/>
    </row>
    <row r="438" spans="2:10" ht="13.2">
      <c r="B438" s="50"/>
      <c r="D438" s="51"/>
      <c r="I438" s="30"/>
      <c r="J438" s="30"/>
    </row>
    <row r="439" spans="2:10" ht="13.2">
      <c r="B439" s="50"/>
      <c r="D439" s="51"/>
      <c r="I439" s="30"/>
      <c r="J439" s="30"/>
    </row>
    <row r="440" spans="2:10" ht="13.2">
      <c r="B440" s="50"/>
      <c r="D440" s="51"/>
      <c r="I440" s="30"/>
      <c r="J440" s="30"/>
    </row>
    <row r="441" spans="2:10" ht="13.2">
      <c r="B441" s="50"/>
      <c r="D441" s="51"/>
      <c r="I441" s="30"/>
      <c r="J441" s="30"/>
    </row>
    <row r="442" spans="2:10" ht="13.2">
      <c r="B442" s="50"/>
      <c r="D442" s="51"/>
      <c r="I442" s="30"/>
      <c r="J442" s="30"/>
    </row>
    <row r="443" spans="2:10" ht="13.2">
      <c r="B443" s="50"/>
      <c r="D443" s="51"/>
      <c r="I443" s="30"/>
      <c r="J443" s="30"/>
    </row>
    <row r="444" spans="2:10" ht="13.2">
      <c r="B444" s="50"/>
      <c r="D444" s="51"/>
      <c r="I444" s="30"/>
      <c r="J444" s="30"/>
    </row>
    <row r="445" spans="2:10" ht="13.2">
      <c r="B445" s="50"/>
      <c r="D445" s="51"/>
      <c r="I445" s="30"/>
      <c r="J445" s="30"/>
    </row>
    <row r="446" spans="2:10" ht="13.2">
      <c r="B446" s="50"/>
      <c r="D446" s="51"/>
      <c r="I446" s="30"/>
      <c r="J446" s="30"/>
    </row>
    <row r="447" spans="2:10" ht="13.2">
      <c r="B447" s="50"/>
      <c r="D447" s="51"/>
      <c r="I447" s="30"/>
      <c r="J447" s="30"/>
    </row>
    <row r="448" spans="2:10" ht="13.2">
      <c r="B448" s="50"/>
      <c r="D448" s="51"/>
      <c r="I448" s="30"/>
      <c r="J448" s="30"/>
    </row>
    <row r="449" spans="2:10" ht="13.2">
      <c r="B449" s="50"/>
      <c r="D449" s="51"/>
      <c r="I449" s="30"/>
      <c r="J449" s="30"/>
    </row>
    <row r="450" spans="2:10" ht="13.2">
      <c r="B450" s="50"/>
      <c r="D450" s="51"/>
      <c r="I450" s="30"/>
      <c r="J450" s="30"/>
    </row>
    <row r="451" spans="2:10" ht="13.2">
      <c r="B451" s="50"/>
      <c r="D451" s="51"/>
      <c r="I451" s="30"/>
      <c r="J451" s="30"/>
    </row>
    <row r="452" spans="2:10" ht="13.2">
      <c r="B452" s="50"/>
      <c r="D452" s="51"/>
      <c r="I452" s="30"/>
      <c r="J452" s="30"/>
    </row>
    <row r="453" spans="2:10" ht="13.2">
      <c r="B453" s="50"/>
      <c r="D453" s="51"/>
      <c r="I453" s="30"/>
      <c r="J453" s="30"/>
    </row>
    <row r="454" spans="2:10" ht="13.2">
      <c r="B454" s="50"/>
      <c r="D454" s="51"/>
      <c r="I454" s="30"/>
      <c r="J454" s="30"/>
    </row>
    <row r="455" spans="2:10" ht="13.2">
      <c r="B455" s="50"/>
      <c r="D455" s="51"/>
      <c r="I455" s="30"/>
      <c r="J455" s="30"/>
    </row>
    <row r="456" spans="2:10" ht="13.2">
      <c r="B456" s="50"/>
      <c r="D456" s="51"/>
      <c r="I456" s="30"/>
      <c r="J456" s="30"/>
    </row>
    <row r="457" spans="2:10" ht="13.2">
      <c r="B457" s="50"/>
      <c r="D457" s="51"/>
      <c r="I457" s="30"/>
      <c r="J457" s="30"/>
    </row>
    <row r="458" spans="2:10" ht="13.2">
      <c r="B458" s="50"/>
      <c r="D458" s="51"/>
      <c r="I458" s="30"/>
      <c r="J458" s="30"/>
    </row>
    <row r="459" spans="2:10" ht="13.2">
      <c r="B459" s="50"/>
      <c r="D459" s="51"/>
      <c r="I459" s="30"/>
      <c r="J459" s="30"/>
    </row>
    <row r="460" spans="2:10" ht="13.2">
      <c r="B460" s="50"/>
      <c r="D460" s="51"/>
      <c r="I460" s="30"/>
      <c r="J460" s="30"/>
    </row>
    <row r="461" spans="2:10" ht="13.2">
      <c r="B461" s="50"/>
      <c r="D461" s="51"/>
      <c r="I461" s="30"/>
      <c r="J461" s="30"/>
    </row>
    <row r="462" spans="2:10" ht="13.2">
      <c r="B462" s="50"/>
      <c r="D462" s="51"/>
      <c r="I462" s="30"/>
      <c r="J462" s="30"/>
    </row>
    <row r="463" spans="2:10" ht="13.2">
      <c r="B463" s="50"/>
      <c r="D463" s="51"/>
      <c r="I463" s="30"/>
      <c r="J463" s="30"/>
    </row>
    <row r="464" spans="2:10" ht="13.2">
      <c r="B464" s="50"/>
      <c r="D464" s="51"/>
      <c r="I464" s="30"/>
      <c r="J464" s="30"/>
    </row>
    <row r="465" spans="2:10" ht="13.2">
      <c r="B465" s="50"/>
      <c r="D465" s="51"/>
      <c r="I465" s="30"/>
      <c r="J465" s="30"/>
    </row>
    <row r="466" spans="2:10" ht="13.2">
      <c r="B466" s="50"/>
      <c r="D466" s="51"/>
      <c r="I466" s="30"/>
      <c r="J466" s="30"/>
    </row>
    <row r="467" spans="2:10" ht="13.2">
      <c r="B467" s="50"/>
      <c r="D467" s="51"/>
      <c r="I467" s="30"/>
      <c r="J467" s="30"/>
    </row>
    <row r="468" spans="2:10" ht="13.2">
      <c r="B468" s="50"/>
      <c r="D468" s="51"/>
      <c r="I468" s="30"/>
      <c r="J468" s="30"/>
    </row>
    <row r="469" spans="2:10" ht="13.2">
      <c r="B469" s="50"/>
      <c r="D469" s="51"/>
      <c r="I469" s="30"/>
      <c r="J469" s="30"/>
    </row>
    <row r="470" spans="2:10" ht="13.2">
      <c r="B470" s="50"/>
      <c r="D470" s="51"/>
      <c r="I470" s="30"/>
      <c r="J470" s="30"/>
    </row>
    <row r="471" spans="2:10" ht="13.2">
      <c r="B471" s="50"/>
      <c r="D471" s="51"/>
      <c r="I471" s="30"/>
      <c r="J471" s="30"/>
    </row>
    <row r="472" spans="2:10" ht="13.2">
      <c r="B472" s="50"/>
      <c r="D472" s="51"/>
      <c r="I472" s="30"/>
      <c r="J472" s="30"/>
    </row>
    <row r="473" spans="2:10" ht="13.2">
      <c r="B473" s="50"/>
      <c r="D473" s="51"/>
      <c r="I473" s="30"/>
      <c r="J473" s="30"/>
    </row>
    <row r="474" spans="2:10" ht="13.2">
      <c r="B474" s="50"/>
      <c r="D474" s="51"/>
      <c r="I474" s="30"/>
      <c r="J474" s="30"/>
    </row>
    <row r="475" spans="2:10" ht="13.2">
      <c r="B475" s="50"/>
      <c r="D475" s="51"/>
      <c r="I475" s="30"/>
      <c r="J475" s="30"/>
    </row>
    <row r="476" spans="2:10" ht="13.2">
      <c r="B476" s="50"/>
      <c r="D476" s="51"/>
      <c r="I476" s="30"/>
      <c r="J476" s="30"/>
    </row>
    <row r="477" spans="2:10" ht="13.2">
      <c r="B477" s="50"/>
      <c r="D477" s="51"/>
      <c r="I477" s="30"/>
      <c r="J477" s="30"/>
    </row>
    <row r="478" spans="2:10" ht="13.2">
      <c r="B478" s="50"/>
      <c r="D478" s="51"/>
      <c r="I478" s="30"/>
      <c r="J478" s="30"/>
    </row>
    <row r="479" spans="2:10" ht="13.2">
      <c r="B479" s="50"/>
      <c r="D479" s="51"/>
      <c r="I479" s="30"/>
      <c r="J479" s="30"/>
    </row>
    <row r="480" spans="2:10" ht="13.2">
      <c r="B480" s="50"/>
      <c r="D480" s="51"/>
      <c r="I480" s="30"/>
      <c r="J480" s="30"/>
    </row>
    <row r="481" spans="2:10" ht="13.2">
      <c r="B481" s="50"/>
      <c r="D481" s="51"/>
      <c r="I481" s="30"/>
      <c r="J481" s="30"/>
    </row>
    <row r="482" spans="2:10" ht="13.2">
      <c r="B482" s="50"/>
      <c r="D482" s="51"/>
      <c r="I482" s="30"/>
      <c r="J482" s="30"/>
    </row>
    <row r="483" spans="2:10" ht="13.2">
      <c r="B483" s="50"/>
      <c r="D483" s="51"/>
      <c r="I483" s="30"/>
      <c r="J483" s="30"/>
    </row>
    <row r="484" spans="2:10" ht="13.2">
      <c r="B484" s="50"/>
      <c r="D484" s="51"/>
      <c r="I484" s="30"/>
      <c r="J484" s="30"/>
    </row>
    <row r="485" spans="2:10" ht="13.2">
      <c r="B485" s="50"/>
      <c r="D485" s="51"/>
      <c r="I485" s="30"/>
      <c r="J485" s="30"/>
    </row>
    <row r="486" spans="2:10" ht="13.2">
      <c r="B486" s="50"/>
      <c r="D486" s="51"/>
      <c r="I486" s="30"/>
      <c r="J486" s="30"/>
    </row>
    <row r="487" spans="2:10" ht="13.2">
      <c r="B487" s="50"/>
      <c r="D487" s="51"/>
      <c r="I487" s="30"/>
      <c r="J487" s="30"/>
    </row>
    <row r="488" spans="2:10" ht="13.2">
      <c r="B488" s="50"/>
      <c r="D488" s="51"/>
      <c r="I488" s="30"/>
      <c r="J488" s="30"/>
    </row>
    <row r="489" spans="2:10" ht="13.2">
      <c r="B489" s="50"/>
      <c r="D489" s="51"/>
      <c r="I489" s="30"/>
      <c r="J489" s="30"/>
    </row>
    <row r="490" spans="2:10" ht="13.2">
      <c r="B490" s="50"/>
      <c r="D490" s="51"/>
      <c r="I490" s="30"/>
      <c r="J490" s="30"/>
    </row>
    <row r="491" spans="2:10" ht="13.2">
      <c r="B491" s="50"/>
      <c r="D491" s="51"/>
      <c r="I491" s="30"/>
      <c r="J491" s="30"/>
    </row>
    <row r="492" spans="2:10" ht="13.2">
      <c r="B492" s="50"/>
      <c r="D492" s="51"/>
      <c r="I492" s="30"/>
      <c r="J492" s="30"/>
    </row>
    <row r="493" spans="2:10" ht="13.2">
      <c r="B493" s="50"/>
      <c r="D493" s="51"/>
      <c r="I493" s="30"/>
      <c r="J493" s="30"/>
    </row>
    <row r="494" spans="2:10" ht="13.2">
      <c r="B494" s="50"/>
      <c r="D494" s="51"/>
      <c r="I494" s="30"/>
      <c r="J494" s="30"/>
    </row>
    <row r="495" spans="2:10" ht="13.2">
      <c r="B495" s="50"/>
      <c r="D495" s="51"/>
      <c r="I495" s="30"/>
      <c r="J495" s="30"/>
    </row>
    <row r="496" spans="2:10" ht="13.2">
      <c r="B496" s="50"/>
      <c r="D496" s="51"/>
      <c r="I496" s="30"/>
      <c r="J496" s="30"/>
    </row>
    <row r="497" spans="2:10" ht="13.2">
      <c r="B497" s="50"/>
      <c r="D497" s="51"/>
      <c r="I497" s="30"/>
      <c r="J497" s="30"/>
    </row>
    <row r="498" spans="2:10" ht="13.2">
      <c r="B498" s="50"/>
      <c r="D498" s="51"/>
      <c r="I498" s="30"/>
      <c r="J498" s="30"/>
    </row>
    <row r="499" spans="2:10" ht="13.2">
      <c r="B499" s="50"/>
      <c r="D499" s="51"/>
      <c r="I499" s="30"/>
      <c r="J499" s="30"/>
    </row>
    <row r="500" spans="2:10" ht="13.2">
      <c r="B500" s="50"/>
      <c r="D500" s="51"/>
      <c r="I500" s="30"/>
      <c r="J500" s="30"/>
    </row>
    <row r="501" spans="2:10" ht="13.2">
      <c r="B501" s="50"/>
      <c r="D501" s="51"/>
      <c r="I501" s="30"/>
      <c r="J501" s="30"/>
    </row>
    <row r="502" spans="2:10" ht="13.2">
      <c r="B502" s="50"/>
      <c r="D502" s="51"/>
      <c r="I502" s="30"/>
      <c r="J502" s="30"/>
    </row>
    <row r="503" spans="2:10" ht="13.2">
      <c r="B503" s="50"/>
      <c r="D503" s="51"/>
      <c r="I503" s="30"/>
      <c r="J503" s="30"/>
    </row>
    <row r="504" spans="2:10" ht="13.2">
      <c r="B504" s="50"/>
      <c r="D504" s="51"/>
      <c r="I504" s="30"/>
      <c r="J504" s="30"/>
    </row>
    <row r="505" spans="2:10" ht="13.2">
      <c r="B505" s="50"/>
      <c r="D505" s="51"/>
      <c r="I505" s="30"/>
      <c r="J505" s="30"/>
    </row>
    <row r="506" spans="2:10" ht="13.2">
      <c r="B506" s="50"/>
      <c r="D506" s="51"/>
      <c r="I506" s="30"/>
      <c r="J506" s="30"/>
    </row>
    <row r="507" spans="2:10" ht="13.2">
      <c r="B507" s="50"/>
      <c r="D507" s="51"/>
      <c r="I507" s="30"/>
      <c r="J507" s="30"/>
    </row>
    <row r="508" spans="2:10" ht="13.2">
      <c r="B508" s="50"/>
      <c r="D508" s="51"/>
      <c r="I508" s="30"/>
      <c r="J508" s="30"/>
    </row>
    <row r="509" spans="2:10" ht="13.2">
      <c r="B509" s="50"/>
      <c r="D509" s="51"/>
      <c r="I509" s="30"/>
      <c r="J509" s="30"/>
    </row>
    <row r="510" spans="2:10" ht="13.2">
      <c r="B510" s="50"/>
      <c r="D510" s="51"/>
      <c r="I510" s="30"/>
      <c r="J510" s="30"/>
    </row>
    <row r="511" spans="2:10" ht="13.2">
      <c r="B511" s="50"/>
      <c r="D511" s="51"/>
      <c r="I511" s="30"/>
      <c r="J511" s="30"/>
    </row>
    <row r="512" spans="2:10" ht="13.2">
      <c r="B512" s="50"/>
      <c r="D512" s="51"/>
      <c r="I512" s="30"/>
      <c r="J512" s="30"/>
    </row>
    <row r="513" spans="2:10" ht="13.2">
      <c r="B513" s="50"/>
      <c r="D513" s="51"/>
      <c r="I513" s="30"/>
      <c r="J513" s="30"/>
    </row>
    <row r="514" spans="2:10" ht="13.2">
      <c r="B514" s="50"/>
      <c r="D514" s="51"/>
      <c r="I514" s="30"/>
      <c r="J514" s="30"/>
    </row>
    <row r="515" spans="2:10" ht="13.2">
      <c r="B515" s="50"/>
      <c r="D515" s="51"/>
      <c r="I515" s="30"/>
      <c r="J515" s="30"/>
    </row>
    <row r="516" spans="2:10" ht="13.2">
      <c r="B516" s="50"/>
      <c r="D516" s="51"/>
      <c r="I516" s="30"/>
      <c r="J516" s="30"/>
    </row>
    <row r="517" spans="2:10" ht="13.2">
      <c r="B517" s="50"/>
      <c r="D517" s="51"/>
      <c r="I517" s="30"/>
      <c r="J517" s="30"/>
    </row>
    <row r="518" spans="2:10" ht="13.2">
      <c r="B518" s="50"/>
      <c r="D518" s="51"/>
      <c r="I518" s="30"/>
      <c r="J518" s="30"/>
    </row>
    <row r="519" spans="2:10" ht="13.2">
      <c r="B519" s="50"/>
      <c r="D519" s="51"/>
      <c r="I519" s="30"/>
      <c r="J519" s="30"/>
    </row>
    <row r="520" spans="2:10" ht="13.2">
      <c r="B520" s="50"/>
      <c r="D520" s="51"/>
      <c r="I520" s="30"/>
      <c r="J520" s="30"/>
    </row>
    <row r="521" spans="2:10" ht="13.2">
      <c r="B521" s="50"/>
      <c r="D521" s="51"/>
      <c r="I521" s="30"/>
      <c r="J521" s="30"/>
    </row>
    <row r="522" spans="2:10" ht="13.2">
      <c r="B522" s="50"/>
      <c r="D522" s="51"/>
      <c r="I522" s="30"/>
      <c r="J522" s="30"/>
    </row>
    <row r="523" spans="2:10" ht="13.2">
      <c r="B523" s="50"/>
      <c r="D523" s="51"/>
      <c r="I523" s="30"/>
      <c r="J523" s="30"/>
    </row>
    <row r="524" spans="2:10" ht="13.2">
      <c r="B524" s="50"/>
      <c r="D524" s="51"/>
      <c r="I524" s="30"/>
      <c r="J524" s="30"/>
    </row>
    <row r="525" spans="2:10" ht="13.2">
      <c r="B525" s="50"/>
      <c r="D525" s="51"/>
      <c r="I525" s="30"/>
      <c r="J525" s="30"/>
    </row>
    <row r="526" spans="2:10" ht="13.2">
      <c r="B526" s="50"/>
      <c r="D526" s="51"/>
      <c r="I526" s="30"/>
      <c r="J526" s="30"/>
    </row>
    <row r="527" spans="2:10" ht="13.2">
      <c r="B527" s="50"/>
      <c r="D527" s="51"/>
      <c r="I527" s="30"/>
      <c r="J527" s="30"/>
    </row>
    <row r="528" spans="2:10" ht="13.2">
      <c r="B528" s="50"/>
      <c r="D528" s="51"/>
      <c r="I528" s="30"/>
      <c r="J528" s="30"/>
    </row>
    <row r="529" spans="2:10" ht="13.2">
      <c r="B529" s="50"/>
      <c r="D529" s="51"/>
      <c r="I529" s="30"/>
      <c r="J529" s="30"/>
    </row>
    <row r="530" spans="2:10" ht="13.2">
      <c r="B530" s="50"/>
      <c r="D530" s="51"/>
      <c r="I530" s="30"/>
      <c r="J530" s="30"/>
    </row>
    <row r="531" spans="2:10" ht="13.2">
      <c r="B531" s="50"/>
      <c r="D531" s="51"/>
      <c r="I531" s="30"/>
      <c r="J531" s="30"/>
    </row>
    <row r="532" spans="2:10" ht="13.2">
      <c r="B532" s="50"/>
      <c r="D532" s="51"/>
      <c r="I532" s="30"/>
      <c r="J532" s="30"/>
    </row>
    <row r="533" spans="2:10" ht="13.2">
      <c r="B533" s="50"/>
      <c r="D533" s="51"/>
      <c r="I533" s="30"/>
      <c r="J533" s="30"/>
    </row>
    <row r="534" spans="2:10" ht="13.2">
      <c r="B534" s="50"/>
      <c r="D534" s="51"/>
      <c r="I534" s="30"/>
      <c r="J534" s="30"/>
    </row>
    <row r="535" spans="2:10" ht="13.2">
      <c r="B535" s="50"/>
      <c r="D535" s="51"/>
      <c r="I535" s="30"/>
      <c r="J535" s="30"/>
    </row>
    <row r="536" spans="2:10" ht="13.2">
      <c r="B536" s="50"/>
      <c r="D536" s="51"/>
      <c r="I536" s="30"/>
      <c r="J536" s="30"/>
    </row>
    <row r="537" spans="2:10" ht="13.2">
      <c r="B537" s="50"/>
      <c r="D537" s="51"/>
      <c r="I537" s="30"/>
      <c r="J537" s="30"/>
    </row>
    <row r="538" spans="2:10" ht="13.2">
      <c r="B538" s="50"/>
      <c r="D538" s="51"/>
      <c r="I538" s="30"/>
      <c r="J538" s="30"/>
    </row>
    <row r="539" spans="2:10" ht="13.2">
      <c r="B539" s="50"/>
      <c r="D539" s="51"/>
      <c r="I539" s="30"/>
      <c r="J539" s="30"/>
    </row>
    <row r="540" spans="2:10" ht="13.2">
      <c r="B540" s="50"/>
      <c r="D540" s="51"/>
      <c r="I540" s="30"/>
      <c r="J540" s="30"/>
    </row>
    <row r="541" spans="2:10" ht="13.2">
      <c r="B541" s="50"/>
      <c r="D541" s="51"/>
      <c r="I541" s="30"/>
      <c r="J541" s="30"/>
    </row>
    <row r="542" spans="2:10" ht="13.2">
      <c r="B542" s="50"/>
      <c r="D542" s="51"/>
      <c r="I542" s="30"/>
      <c r="J542" s="30"/>
    </row>
    <row r="543" spans="2:10" ht="13.2">
      <c r="B543" s="50"/>
      <c r="D543" s="51"/>
      <c r="I543" s="30"/>
      <c r="J543" s="30"/>
    </row>
    <row r="544" spans="2:10" ht="13.2">
      <c r="B544" s="50"/>
      <c r="D544" s="51"/>
      <c r="I544" s="30"/>
      <c r="J544" s="30"/>
    </row>
    <row r="545" spans="2:10" ht="13.2">
      <c r="B545" s="50"/>
      <c r="D545" s="51"/>
      <c r="I545" s="30"/>
      <c r="J545" s="30"/>
    </row>
    <row r="546" spans="2:10" ht="13.2">
      <c r="B546" s="50"/>
      <c r="D546" s="51"/>
      <c r="I546" s="30"/>
      <c r="J546" s="30"/>
    </row>
    <row r="547" spans="2:10" ht="13.2">
      <c r="B547" s="50"/>
      <c r="D547" s="51"/>
      <c r="I547" s="30"/>
      <c r="J547" s="30"/>
    </row>
    <row r="548" spans="2:10" ht="13.2">
      <c r="B548" s="50"/>
      <c r="D548" s="51"/>
      <c r="I548" s="30"/>
      <c r="J548" s="30"/>
    </row>
    <row r="549" spans="2:10" ht="13.2">
      <c r="B549" s="50"/>
      <c r="D549" s="51"/>
      <c r="I549" s="30"/>
      <c r="J549" s="30"/>
    </row>
    <row r="550" spans="2:10" ht="13.2">
      <c r="B550" s="50"/>
      <c r="D550" s="51"/>
      <c r="I550" s="30"/>
      <c r="J550" s="30"/>
    </row>
    <row r="551" spans="2:10" ht="13.2">
      <c r="B551" s="50"/>
      <c r="D551" s="51"/>
      <c r="I551" s="30"/>
      <c r="J551" s="30"/>
    </row>
    <row r="552" spans="2:10" ht="13.2">
      <c r="B552" s="50"/>
      <c r="D552" s="51"/>
      <c r="I552" s="30"/>
      <c r="J552" s="30"/>
    </row>
    <row r="553" spans="2:10" ht="13.2">
      <c r="B553" s="50"/>
      <c r="D553" s="51"/>
      <c r="I553" s="30"/>
      <c r="J553" s="30"/>
    </row>
    <row r="554" spans="2:10" ht="13.2">
      <c r="B554" s="50"/>
      <c r="D554" s="51"/>
      <c r="I554" s="30"/>
      <c r="J554" s="30"/>
    </row>
    <row r="555" spans="2:10" ht="13.2">
      <c r="B555" s="50"/>
      <c r="D555" s="51"/>
      <c r="I555" s="30"/>
      <c r="J555" s="30"/>
    </row>
    <row r="556" spans="2:10" ht="13.2">
      <c r="B556" s="50"/>
      <c r="D556" s="51"/>
      <c r="I556" s="30"/>
      <c r="J556" s="30"/>
    </row>
    <row r="557" spans="2:10" ht="13.2">
      <c r="B557" s="50"/>
      <c r="D557" s="51"/>
      <c r="I557" s="30"/>
      <c r="J557" s="30"/>
    </row>
    <row r="558" spans="2:10" ht="13.2">
      <c r="B558" s="50"/>
      <c r="D558" s="51"/>
      <c r="I558" s="30"/>
      <c r="J558" s="30"/>
    </row>
    <row r="559" spans="2:10" ht="13.2">
      <c r="B559" s="50"/>
      <c r="D559" s="51"/>
      <c r="I559" s="30"/>
      <c r="J559" s="30"/>
    </row>
    <row r="560" spans="2:10" ht="13.2">
      <c r="B560" s="50"/>
      <c r="D560" s="51"/>
      <c r="I560" s="30"/>
      <c r="J560" s="30"/>
    </row>
    <row r="561" spans="2:10" ht="13.2">
      <c r="B561" s="50"/>
      <c r="D561" s="51"/>
      <c r="I561" s="30"/>
      <c r="J561" s="30"/>
    </row>
    <row r="562" spans="2:10" ht="13.2">
      <c r="B562" s="50"/>
      <c r="D562" s="51"/>
      <c r="I562" s="30"/>
      <c r="J562" s="30"/>
    </row>
    <row r="563" spans="2:10" ht="13.2">
      <c r="B563" s="50"/>
      <c r="D563" s="51"/>
      <c r="I563" s="30"/>
      <c r="J563" s="30"/>
    </row>
    <row r="564" spans="2:10" ht="13.2">
      <c r="B564" s="50"/>
      <c r="D564" s="51"/>
      <c r="I564" s="30"/>
      <c r="J564" s="30"/>
    </row>
    <row r="565" spans="2:10" ht="13.2">
      <c r="B565" s="50"/>
      <c r="D565" s="51"/>
      <c r="I565" s="30"/>
      <c r="J565" s="30"/>
    </row>
    <row r="566" spans="2:10" ht="13.2">
      <c r="B566" s="50"/>
      <c r="D566" s="51"/>
      <c r="I566" s="30"/>
      <c r="J566" s="30"/>
    </row>
    <row r="567" spans="2:10" ht="13.2">
      <c r="B567" s="50"/>
      <c r="D567" s="51"/>
      <c r="I567" s="30"/>
      <c r="J567" s="30"/>
    </row>
    <row r="568" spans="2:10" ht="13.2">
      <c r="B568" s="50"/>
      <c r="D568" s="51"/>
      <c r="I568" s="30"/>
      <c r="J568" s="30"/>
    </row>
    <row r="569" spans="2:10" ht="13.2">
      <c r="B569" s="50"/>
      <c r="D569" s="51"/>
      <c r="I569" s="30"/>
      <c r="J569" s="30"/>
    </row>
    <row r="570" spans="2:10" ht="13.2">
      <c r="B570" s="50"/>
      <c r="D570" s="51"/>
      <c r="I570" s="30"/>
      <c r="J570" s="30"/>
    </row>
    <row r="571" spans="2:10" ht="13.2">
      <c r="B571" s="50"/>
      <c r="D571" s="51"/>
      <c r="I571" s="30"/>
      <c r="J571" s="30"/>
    </row>
    <row r="572" spans="2:10" ht="13.2">
      <c r="B572" s="50"/>
      <c r="D572" s="51"/>
      <c r="I572" s="30"/>
      <c r="J572" s="30"/>
    </row>
    <row r="573" spans="2:10" ht="13.2">
      <c r="B573" s="50"/>
      <c r="D573" s="51"/>
      <c r="I573" s="30"/>
      <c r="J573" s="30"/>
    </row>
    <row r="574" spans="2:10" ht="13.2">
      <c r="B574" s="50"/>
      <c r="D574" s="51"/>
      <c r="I574" s="30"/>
      <c r="J574" s="30"/>
    </row>
    <row r="575" spans="2:10" ht="13.2">
      <c r="B575" s="50"/>
      <c r="D575" s="51"/>
      <c r="I575" s="30"/>
      <c r="J575" s="30"/>
    </row>
    <row r="576" spans="2:10" ht="13.2">
      <c r="B576" s="50"/>
      <c r="D576" s="51"/>
      <c r="I576" s="30"/>
      <c r="J576" s="30"/>
    </row>
    <row r="577" spans="2:10" ht="13.2">
      <c r="B577" s="50"/>
      <c r="D577" s="51"/>
      <c r="I577" s="30"/>
      <c r="J577" s="30"/>
    </row>
    <row r="578" spans="2:10" ht="13.2">
      <c r="B578" s="50"/>
      <c r="D578" s="51"/>
      <c r="I578" s="30"/>
      <c r="J578" s="30"/>
    </row>
    <row r="579" spans="2:10" ht="13.2">
      <c r="B579" s="50"/>
      <c r="D579" s="51"/>
      <c r="I579" s="30"/>
      <c r="J579" s="30"/>
    </row>
    <row r="580" spans="2:10" ht="13.2">
      <c r="B580" s="50"/>
      <c r="D580" s="51"/>
      <c r="I580" s="30"/>
      <c r="J580" s="30"/>
    </row>
    <row r="581" spans="2:10" ht="13.2">
      <c r="B581" s="50"/>
      <c r="D581" s="51"/>
      <c r="I581" s="30"/>
      <c r="J581" s="30"/>
    </row>
    <row r="582" spans="2:10" ht="13.2">
      <c r="B582" s="50"/>
      <c r="D582" s="51"/>
      <c r="I582" s="30"/>
      <c r="J582" s="30"/>
    </row>
    <row r="583" spans="2:10" ht="13.2">
      <c r="B583" s="50"/>
      <c r="D583" s="51"/>
      <c r="I583" s="30"/>
      <c r="J583" s="30"/>
    </row>
    <row r="584" spans="2:10" ht="13.2">
      <c r="B584" s="50"/>
      <c r="D584" s="51"/>
      <c r="I584" s="30"/>
      <c r="J584" s="30"/>
    </row>
    <row r="585" spans="2:10" ht="13.2">
      <c r="B585" s="50"/>
      <c r="D585" s="51"/>
      <c r="I585" s="30"/>
      <c r="J585" s="30"/>
    </row>
    <row r="586" spans="2:10" ht="13.2">
      <c r="B586" s="50"/>
      <c r="D586" s="51"/>
      <c r="I586" s="30"/>
      <c r="J586" s="30"/>
    </row>
    <row r="587" spans="2:10" ht="13.2">
      <c r="B587" s="50"/>
      <c r="D587" s="51"/>
      <c r="I587" s="30"/>
      <c r="J587" s="30"/>
    </row>
    <row r="588" spans="2:10" ht="13.2">
      <c r="B588" s="50"/>
      <c r="D588" s="51"/>
      <c r="I588" s="30"/>
      <c r="J588" s="30"/>
    </row>
    <row r="589" spans="2:10" ht="13.2">
      <c r="B589" s="50"/>
      <c r="D589" s="51"/>
      <c r="I589" s="30"/>
      <c r="J589" s="30"/>
    </row>
    <row r="590" spans="2:10" ht="13.2">
      <c r="B590" s="50"/>
      <c r="D590" s="51"/>
      <c r="I590" s="30"/>
      <c r="J590" s="30"/>
    </row>
    <row r="591" spans="2:10" ht="13.2">
      <c r="B591" s="50"/>
      <c r="D591" s="51"/>
      <c r="I591" s="30"/>
      <c r="J591" s="30"/>
    </row>
    <row r="592" spans="2:10" ht="13.2">
      <c r="B592" s="50"/>
      <c r="D592" s="51"/>
      <c r="I592" s="30"/>
      <c r="J592" s="30"/>
    </row>
    <row r="593" spans="2:10" ht="13.2">
      <c r="B593" s="50"/>
      <c r="D593" s="51"/>
      <c r="I593" s="30"/>
      <c r="J593" s="30"/>
    </row>
    <row r="594" spans="2:10" ht="13.2">
      <c r="B594" s="50"/>
      <c r="D594" s="51"/>
      <c r="I594" s="30"/>
      <c r="J594" s="30"/>
    </row>
    <row r="595" spans="2:10" ht="13.2">
      <c r="B595" s="50"/>
      <c r="D595" s="51"/>
      <c r="I595" s="30"/>
      <c r="J595" s="30"/>
    </row>
    <row r="596" spans="2:10" ht="13.2">
      <c r="B596" s="50"/>
      <c r="D596" s="51"/>
      <c r="I596" s="30"/>
      <c r="J596" s="30"/>
    </row>
    <row r="597" spans="2:10" ht="13.2">
      <c r="B597" s="50"/>
      <c r="D597" s="51"/>
      <c r="I597" s="30"/>
      <c r="J597" s="30"/>
    </row>
    <row r="598" spans="2:10" ht="13.2">
      <c r="B598" s="50"/>
      <c r="D598" s="51"/>
      <c r="I598" s="30"/>
      <c r="J598" s="30"/>
    </row>
    <row r="599" spans="2:10" ht="13.2">
      <c r="B599" s="50"/>
      <c r="D599" s="51"/>
      <c r="I599" s="30"/>
      <c r="J599" s="30"/>
    </row>
    <row r="600" spans="2:10" ht="13.2">
      <c r="B600" s="50"/>
      <c r="D600" s="51"/>
      <c r="I600" s="30"/>
      <c r="J600" s="30"/>
    </row>
    <row r="601" spans="2:10" ht="13.2">
      <c r="B601" s="50"/>
      <c r="D601" s="51"/>
      <c r="I601" s="30"/>
      <c r="J601" s="30"/>
    </row>
    <row r="602" spans="2:10" ht="13.2">
      <c r="B602" s="50"/>
      <c r="D602" s="51"/>
      <c r="I602" s="30"/>
      <c r="J602" s="30"/>
    </row>
    <row r="603" spans="2:10" ht="13.2">
      <c r="B603" s="50"/>
      <c r="D603" s="51"/>
      <c r="I603" s="30"/>
      <c r="J603" s="30"/>
    </row>
    <row r="604" spans="2:10" ht="13.2">
      <c r="B604" s="50"/>
      <c r="D604" s="51"/>
      <c r="I604" s="30"/>
      <c r="J604" s="30"/>
    </row>
    <row r="605" spans="2:10" ht="13.2">
      <c r="B605" s="50"/>
      <c r="D605" s="51"/>
      <c r="I605" s="30"/>
      <c r="J605" s="30"/>
    </row>
    <row r="606" spans="2:10" ht="13.2">
      <c r="B606" s="50"/>
      <c r="D606" s="51"/>
      <c r="I606" s="30"/>
      <c r="J606" s="30"/>
    </row>
    <row r="607" spans="2:10" ht="13.2">
      <c r="B607" s="50"/>
      <c r="D607" s="51"/>
      <c r="I607" s="30"/>
      <c r="J607" s="30"/>
    </row>
    <row r="608" spans="2:10" ht="13.2">
      <c r="B608" s="50"/>
      <c r="D608" s="51"/>
      <c r="I608" s="30"/>
      <c r="J608" s="30"/>
    </row>
    <row r="609" spans="2:10" ht="13.2">
      <c r="B609" s="50"/>
      <c r="D609" s="51"/>
      <c r="I609" s="30"/>
      <c r="J609" s="30"/>
    </row>
    <row r="610" spans="2:10" ht="13.2">
      <c r="B610" s="50"/>
      <c r="D610" s="51"/>
      <c r="I610" s="30"/>
      <c r="J610" s="30"/>
    </row>
    <row r="611" spans="2:10" ht="13.2">
      <c r="B611" s="50"/>
      <c r="D611" s="51"/>
      <c r="I611" s="30"/>
      <c r="J611" s="30"/>
    </row>
    <row r="612" spans="2:10" ht="13.2">
      <c r="B612" s="50"/>
      <c r="D612" s="51"/>
      <c r="I612" s="30"/>
      <c r="J612" s="30"/>
    </row>
    <row r="613" spans="2:10" ht="13.2">
      <c r="B613" s="50"/>
      <c r="D613" s="51"/>
      <c r="I613" s="30"/>
      <c r="J613" s="30"/>
    </row>
    <row r="614" spans="2:10" ht="13.2">
      <c r="B614" s="50"/>
      <c r="D614" s="51"/>
      <c r="I614" s="30"/>
      <c r="J614" s="30"/>
    </row>
    <row r="615" spans="2:10" ht="13.2">
      <c r="B615" s="50"/>
      <c r="D615" s="51"/>
      <c r="I615" s="30"/>
      <c r="J615" s="30"/>
    </row>
    <row r="616" spans="2:10" ht="13.2">
      <c r="B616" s="50"/>
      <c r="D616" s="51"/>
      <c r="I616" s="30"/>
      <c r="J616" s="30"/>
    </row>
    <row r="617" spans="2:10" ht="13.2">
      <c r="B617" s="50"/>
      <c r="D617" s="51"/>
      <c r="I617" s="30"/>
      <c r="J617" s="30"/>
    </row>
    <row r="618" spans="2:10" ht="13.2">
      <c r="B618" s="50"/>
      <c r="D618" s="51"/>
      <c r="I618" s="30"/>
      <c r="J618" s="30"/>
    </row>
    <row r="619" spans="2:10" ht="13.2">
      <c r="B619" s="50"/>
      <c r="D619" s="51"/>
      <c r="I619" s="30"/>
      <c r="J619" s="30"/>
    </row>
    <row r="620" spans="2:10" ht="13.2">
      <c r="B620" s="50"/>
      <c r="D620" s="51"/>
      <c r="I620" s="30"/>
      <c r="J620" s="30"/>
    </row>
    <row r="621" spans="2:10" ht="13.2">
      <c r="B621" s="50"/>
      <c r="D621" s="51"/>
      <c r="I621" s="30"/>
      <c r="J621" s="30"/>
    </row>
    <row r="622" spans="2:10" ht="13.2">
      <c r="B622" s="50"/>
      <c r="D622" s="51"/>
      <c r="I622" s="30"/>
      <c r="J622" s="30"/>
    </row>
    <row r="623" spans="2:10" ht="13.2">
      <c r="B623" s="50"/>
      <c r="D623" s="51"/>
      <c r="I623" s="30"/>
      <c r="J623" s="30"/>
    </row>
    <row r="624" spans="2:10" ht="13.2">
      <c r="B624" s="50"/>
      <c r="D624" s="51"/>
      <c r="I624" s="30"/>
      <c r="J624" s="30"/>
    </row>
    <row r="625" spans="2:10" ht="13.2">
      <c r="B625" s="50"/>
      <c r="D625" s="51"/>
      <c r="I625" s="30"/>
      <c r="J625" s="30"/>
    </row>
    <row r="626" spans="2:10" ht="13.2">
      <c r="B626" s="50"/>
      <c r="D626" s="51"/>
      <c r="I626" s="30"/>
      <c r="J626" s="30"/>
    </row>
    <row r="627" spans="2:10" ht="13.2">
      <c r="B627" s="50"/>
      <c r="D627" s="51"/>
      <c r="I627" s="30"/>
      <c r="J627" s="30"/>
    </row>
    <row r="628" spans="2:10" ht="13.2">
      <c r="B628" s="50"/>
      <c r="D628" s="51"/>
      <c r="I628" s="30"/>
      <c r="J628" s="30"/>
    </row>
    <row r="629" spans="2:10" ht="13.2">
      <c r="B629" s="50"/>
      <c r="D629" s="51"/>
      <c r="I629" s="30"/>
      <c r="J629" s="30"/>
    </row>
    <row r="630" spans="2:10" ht="13.2">
      <c r="B630" s="50"/>
      <c r="D630" s="51"/>
      <c r="I630" s="30"/>
      <c r="J630" s="30"/>
    </row>
    <row r="631" spans="2:10" ht="13.2">
      <c r="B631" s="50"/>
      <c r="D631" s="51"/>
      <c r="I631" s="30"/>
      <c r="J631" s="30"/>
    </row>
    <row r="632" spans="2:10" ht="13.2">
      <c r="B632" s="50"/>
      <c r="D632" s="51"/>
      <c r="I632" s="30"/>
      <c r="J632" s="30"/>
    </row>
    <row r="633" spans="2:10" ht="13.2">
      <c r="B633" s="50"/>
      <c r="D633" s="51"/>
      <c r="I633" s="30"/>
      <c r="J633" s="30"/>
    </row>
    <row r="634" spans="2:10" ht="13.2">
      <c r="B634" s="50"/>
      <c r="D634" s="51"/>
      <c r="I634" s="30"/>
      <c r="J634" s="30"/>
    </row>
    <row r="635" spans="2:10" ht="13.2">
      <c r="B635" s="50"/>
      <c r="D635" s="51"/>
      <c r="I635" s="30"/>
      <c r="J635" s="30"/>
    </row>
    <row r="636" spans="2:10" ht="13.2">
      <c r="B636" s="50"/>
      <c r="D636" s="51"/>
      <c r="I636" s="30"/>
      <c r="J636" s="30"/>
    </row>
    <row r="637" spans="2:10" ht="13.2">
      <c r="B637" s="50"/>
      <c r="D637" s="51"/>
      <c r="I637" s="30"/>
      <c r="J637" s="30"/>
    </row>
    <row r="638" spans="2:10" ht="13.2">
      <c r="B638" s="50"/>
      <c r="D638" s="51"/>
      <c r="I638" s="30"/>
      <c r="J638" s="30"/>
    </row>
    <row r="639" spans="2:10" ht="13.2">
      <c r="B639" s="50"/>
      <c r="D639" s="51"/>
      <c r="I639" s="30"/>
      <c r="J639" s="30"/>
    </row>
    <row r="640" spans="2:10" ht="13.2">
      <c r="B640" s="50"/>
      <c r="D640" s="51"/>
      <c r="I640" s="30"/>
      <c r="J640" s="30"/>
    </row>
    <row r="641" spans="2:10" ht="13.2">
      <c r="B641" s="50"/>
      <c r="D641" s="51"/>
      <c r="I641" s="30"/>
      <c r="J641" s="30"/>
    </row>
    <row r="642" spans="2:10" ht="13.2">
      <c r="B642" s="50"/>
      <c r="D642" s="51"/>
      <c r="I642" s="30"/>
      <c r="J642" s="30"/>
    </row>
    <row r="643" spans="2:10" ht="13.2">
      <c r="B643" s="50"/>
      <c r="D643" s="51"/>
      <c r="I643" s="30"/>
      <c r="J643" s="30"/>
    </row>
    <row r="644" spans="2:10" ht="13.2">
      <c r="B644" s="50"/>
      <c r="D644" s="51"/>
      <c r="I644" s="30"/>
      <c r="J644" s="30"/>
    </row>
    <row r="645" spans="2:10" ht="13.2">
      <c r="B645" s="50"/>
      <c r="D645" s="51"/>
      <c r="I645" s="30"/>
      <c r="J645" s="30"/>
    </row>
    <row r="646" spans="2:10" ht="13.2">
      <c r="B646" s="50"/>
      <c r="D646" s="51"/>
      <c r="I646" s="30"/>
      <c r="J646" s="30"/>
    </row>
    <row r="647" spans="2:10" ht="13.2">
      <c r="B647" s="50"/>
      <c r="D647" s="51"/>
      <c r="I647" s="30"/>
      <c r="J647" s="30"/>
    </row>
    <row r="648" spans="2:10" ht="13.2">
      <c r="B648" s="50"/>
      <c r="D648" s="51"/>
      <c r="I648" s="30"/>
      <c r="J648" s="30"/>
    </row>
    <row r="649" spans="2:10" ht="13.2">
      <c r="B649" s="50"/>
      <c r="D649" s="51"/>
      <c r="I649" s="30"/>
      <c r="J649" s="30"/>
    </row>
    <row r="650" spans="2:10" ht="13.2">
      <c r="B650" s="50"/>
      <c r="D650" s="51"/>
      <c r="I650" s="30"/>
      <c r="J650" s="30"/>
    </row>
    <row r="651" spans="2:10" ht="13.2">
      <c r="B651" s="50"/>
      <c r="D651" s="51"/>
      <c r="I651" s="30"/>
      <c r="J651" s="30"/>
    </row>
    <row r="652" spans="2:10" ht="13.2">
      <c r="B652" s="50"/>
      <c r="D652" s="51"/>
      <c r="I652" s="30"/>
      <c r="J652" s="30"/>
    </row>
    <row r="653" spans="2:10" ht="13.2">
      <c r="B653" s="50"/>
      <c r="D653" s="51"/>
      <c r="I653" s="30"/>
      <c r="J653" s="30"/>
    </row>
    <row r="654" spans="2:10" ht="13.2">
      <c r="B654" s="50"/>
      <c r="D654" s="51"/>
      <c r="I654" s="30"/>
      <c r="J654" s="30"/>
    </row>
    <row r="655" spans="2:10" ht="13.2">
      <c r="B655" s="50"/>
      <c r="D655" s="51"/>
      <c r="I655" s="30"/>
      <c r="J655" s="30"/>
    </row>
    <row r="656" spans="2:10" ht="13.2">
      <c r="B656" s="50"/>
      <c r="D656" s="51"/>
      <c r="I656" s="30"/>
      <c r="J656" s="30"/>
    </row>
    <row r="657" spans="2:10" ht="13.2">
      <c r="B657" s="50"/>
      <c r="D657" s="51"/>
      <c r="I657" s="30"/>
      <c r="J657" s="30"/>
    </row>
    <row r="658" spans="2:10" ht="13.2">
      <c r="B658" s="50"/>
      <c r="D658" s="51"/>
      <c r="I658" s="30"/>
      <c r="J658" s="30"/>
    </row>
    <row r="659" spans="2:10" ht="13.2">
      <c r="B659" s="50"/>
      <c r="D659" s="51"/>
      <c r="I659" s="30"/>
      <c r="J659" s="30"/>
    </row>
    <row r="660" spans="2:10" ht="13.2">
      <c r="B660" s="50"/>
      <c r="D660" s="51"/>
      <c r="I660" s="30"/>
      <c r="J660" s="30"/>
    </row>
    <row r="661" spans="2:10" ht="13.2">
      <c r="B661" s="50"/>
      <c r="D661" s="51"/>
      <c r="I661" s="30"/>
      <c r="J661" s="30"/>
    </row>
    <row r="662" spans="2:10" ht="13.2">
      <c r="B662" s="50"/>
      <c r="D662" s="51"/>
      <c r="I662" s="30"/>
      <c r="J662" s="30"/>
    </row>
    <row r="663" spans="2:10" ht="13.2">
      <c r="B663" s="50"/>
      <c r="D663" s="51"/>
      <c r="I663" s="30"/>
      <c r="J663" s="30"/>
    </row>
    <row r="664" spans="2:10" ht="13.2">
      <c r="B664" s="50"/>
      <c r="D664" s="51"/>
      <c r="I664" s="30"/>
      <c r="J664" s="30"/>
    </row>
    <row r="665" spans="2:10" ht="13.2">
      <c r="B665" s="50"/>
      <c r="D665" s="51"/>
      <c r="I665" s="30"/>
      <c r="J665" s="30"/>
    </row>
    <row r="666" spans="2:10" ht="13.2">
      <c r="B666" s="50"/>
      <c r="D666" s="51"/>
      <c r="I666" s="30"/>
      <c r="J666" s="30"/>
    </row>
    <row r="667" spans="2:10" ht="13.2">
      <c r="B667" s="50"/>
      <c r="D667" s="51"/>
      <c r="I667" s="30"/>
      <c r="J667" s="30"/>
    </row>
    <row r="668" spans="2:10" ht="13.2">
      <c r="B668" s="50"/>
      <c r="D668" s="51"/>
      <c r="I668" s="30"/>
      <c r="J668" s="30"/>
    </row>
    <row r="669" spans="2:10" ht="13.2">
      <c r="B669" s="50"/>
      <c r="D669" s="51"/>
      <c r="I669" s="30"/>
      <c r="J669" s="30"/>
    </row>
    <row r="670" spans="2:10" ht="13.2">
      <c r="B670" s="50"/>
      <c r="D670" s="51"/>
      <c r="I670" s="30"/>
      <c r="J670" s="30"/>
    </row>
    <row r="671" spans="2:10" ht="13.2">
      <c r="B671" s="50"/>
      <c r="D671" s="51"/>
      <c r="I671" s="30"/>
      <c r="J671" s="30"/>
    </row>
    <row r="672" spans="2:10" ht="13.2">
      <c r="B672" s="50"/>
      <c r="D672" s="51"/>
      <c r="I672" s="30"/>
      <c r="J672" s="30"/>
    </row>
    <row r="673" spans="2:10" ht="13.2">
      <c r="B673" s="50"/>
      <c r="D673" s="51"/>
      <c r="I673" s="30"/>
      <c r="J673" s="30"/>
    </row>
    <row r="674" spans="2:10" ht="13.2">
      <c r="B674" s="50"/>
      <c r="D674" s="51"/>
      <c r="I674" s="30"/>
      <c r="J674" s="30"/>
    </row>
    <row r="675" spans="2:10" ht="13.2">
      <c r="B675" s="50"/>
      <c r="D675" s="51"/>
      <c r="I675" s="30"/>
      <c r="J675" s="30"/>
    </row>
    <row r="676" spans="2:10" ht="13.2">
      <c r="B676" s="50"/>
      <c r="D676" s="51"/>
      <c r="I676" s="30"/>
      <c r="J676" s="30"/>
    </row>
    <row r="677" spans="2:10" ht="13.2">
      <c r="B677" s="50"/>
      <c r="D677" s="51"/>
      <c r="I677" s="30"/>
      <c r="J677" s="30"/>
    </row>
    <row r="678" spans="2:10" ht="13.2">
      <c r="B678" s="50"/>
      <c r="D678" s="51"/>
      <c r="I678" s="30"/>
      <c r="J678" s="30"/>
    </row>
    <row r="679" spans="2:10" ht="13.2">
      <c r="B679" s="50"/>
      <c r="D679" s="51"/>
      <c r="I679" s="30"/>
      <c r="J679" s="30"/>
    </row>
    <row r="680" spans="2:10" ht="13.2">
      <c r="B680" s="50"/>
      <c r="D680" s="51"/>
      <c r="I680" s="30"/>
      <c r="J680" s="30"/>
    </row>
    <row r="681" spans="2:10" ht="13.2">
      <c r="B681" s="50"/>
      <c r="D681" s="51"/>
      <c r="I681" s="30"/>
      <c r="J681" s="30"/>
    </row>
    <row r="682" spans="2:10" ht="13.2">
      <c r="B682" s="50"/>
      <c r="D682" s="51"/>
      <c r="I682" s="30"/>
      <c r="J682" s="30"/>
    </row>
    <row r="683" spans="2:10" ht="13.2">
      <c r="B683" s="50"/>
      <c r="D683" s="51"/>
      <c r="I683" s="30"/>
      <c r="J683" s="30"/>
    </row>
    <row r="684" spans="2:10" ht="13.2">
      <c r="B684" s="50"/>
      <c r="D684" s="51"/>
      <c r="I684" s="30"/>
      <c r="J684" s="30"/>
    </row>
    <row r="685" spans="2:10" ht="13.2">
      <c r="B685" s="50"/>
      <c r="D685" s="51"/>
      <c r="I685" s="30"/>
      <c r="J685" s="30"/>
    </row>
    <row r="686" spans="2:10" ht="13.2">
      <c r="B686" s="50"/>
      <c r="D686" s="51"/>
      <c r="I686" s="30"/>
      <c r="J686" s="30"/>
    </row>
    <row r="687" spans="2:10" ht="13.2">
      <c r="B687" s="50"/>
      <c r="D687" s="51"/>
      <c r="I687" s="30"/>
      <c r="J687" s="30"/>
    </row>
    <row r="688" spans="2:10" ht="13.2">
      <c r="B688" s="50"/>
      <c r="D688" s="51"/>
      <c r="I688" s="30"/>
      <c r="J688" s="30"/>
    </row>
    <row r="689" spans="2:10" ht="13.2">
      <c r="B689" s="50"/>
      <c r="D689" s="51"/>
      <c r="I689" s="30"/>
      <c r="J689" s="30"/>
    </row>
    <row r="690" spans="2:10" ht="13.2">
      <c r="B690" s="50"/>
      <c r="D690" s="51"/>
      <c r="I690" s="30"/>
      <c r="J690" s="30"/>
    </row>
    <row r="691" spans="2:10" ht="13.2">
      <c r="B691" s="50"/>
      <c r="D691" s="51"/>
      <c r="I691" s="30"/>
      <c r="J691" s="30"/>
    </row>
    <row r="692" spans="2:10" ht="13.2">
      <c r="B692" s="50"/>
      <c r="D692" s="51"/>
      <c r="I692" s="30"/>
      <c r="J692" s="30"/>
    </row>
    <row r="693" spans="2:10" ht="13.2">
      <c r="B693" s="50"/>
      <c r="D693" s="51"/>
      <c r="I693" s="30"/>
      <c r="J693" s="30"/>
    </row>
    <row r="694" spans="2:10" ht="13.2">
      <c r="B694" s="50"/>
      <c r="D694" s="51"/>
      <c r="I694" s="30"/>
      <c r="J694" s="30"/>
    </row>
    <row r="695" spans="2:10" ht="13.2">
      <c r="B695" s="50"/>
      <c r="D695" s="51"/>
      <c r="I695" s="30"/>
      <c r="J695" s="30"/>
    </row>
    <row r="696" spans="2:10" ht="13.2">
      <c r="B696" s="50"/>
      <c r="D696" s="51"/>
      <c r="I696" s="30"/>
      <c r="J696" s="30"/>
    </row>
    <row r="697" spans="2:10" ht="13.2">
      <c r="B697" s="50"/>
      <c r="D697" s="51"/>
      <c r="I697" s="30"/>
      <c r="J697" s="30"/>
    </row>
    <row r="698" spans="2:10" ht="13.2">
      <c r="B698" s="50"/>
      <c r="D698" s="51"/>
      <c r="I698" s="30"/>
      <c r="J698" s="30"/>
    </row>
    <row r="699" spans="2:10" ht="13.2">
      <c r="B699" s="50"/>
      <c r="D699" s="51"/>
      <c r="I699" s="30"/>
      <c r="J699" s="30"/>
    </row>
    <row r="700" spans="2:10" ht="13.2">
      <c r="B700" s="50"/>
      <c r="D700" s="51"/>
      <c r="I700" s="30"/>
      <c r="J700" s="30"/>
    </row>
    <row r="701" spans="2:10" ht="13.2">
      <c r="B701" s="50"/>
      <c r="D701" s="51"/>
      <c r="I701" s="30"/>
      <c r="J701" s="30"/>
    </row>
    <row r="702" spans="2:10" ht="13.2">
      <c r="B702" s="50"/>
      <c r="D702" s="51"/>
      <c r="I702" s="30"/>
      <c r="J702" s="30"/>
    </row>
    <row r="703" spans="2:10" ht="13.2">
      <c r="B703" s="50"/>
      <c r="D703" s="51"/>
      <c r="I703" s="30"/>
      <c r="J703" s="30"/>
    </row>
    <row r="704" spans="2:10" ht="13.2">
      <c r="B704" s="50"/>
      <c r="D704" s="51"/>
      <c r="I704" s="30"/>
      <c r="J704" s="30"/>
    </row>
    <row r="705" spans="2:10" ht="13.2">
      <c r="B705" s="50"/>
      <c r="D705" s="51"/>
      <c r="I705" s="30"/>
      <c r="J705" s="30"/>
    </row>
    <row r="706" spans="2:10" ht="13.2">
      <c r="B706" s="50"/>
      <c r="D706" s="51"/>
      <c r="I706" s="30"/>
      <c r="J706" s="30"/>
    </row>
    <row r="707" spans="2:10" ht="13.2">
      <c r="B707" s="50"/>
      <c r="D707" s="51"/>
      <c r="I707" s="30"/>
      <c r="J707" s="30"/>
    </row>
    <row r="708" spans="2:10" ht="13.2">
      <c r="B708" s="50"/>
      <c r="D708" s="51"/>
      <c r="I708" s="30"/>
      <c r="J708" s="30"/>
    </row>
    <row r="709" spans="2:10" ht="13.2">
      <c r="B709" s="50"/>
      <c r="D709" s="51"/>
      <c r="I709" s="30"/>
      <c r="J709" s="30"/>
    </row>
    <row r="710" spans="2:10" ht="13.2">
      <c r="B710" s="50"/>
      <c r="D710" s="51"/>
      <c r="I710" s="30"/>
      <c r="J710" s="30"/>
    </row>
    <row r="711" spans="2:10" ht="13.2">
      <c r="B711" s="50"/>
      <c r="D711" s="51"/>
      <c r="I711" s="30"/>
      <c r="J711" s="30"/>
    </row>
    <row r="712" spans="2:10" ht="13.2">
      <c r="B712" s="50"/>
      <c r="D712" s="51"/>
      <c r="I712" s="30"/>
      <c r="J712" s="30"/>
    </row>
    <row r="713" spans="2:10" ht="13.2">
      <c r="B713" s="50"/>
      <c r="D713" s="51"/>
      <c r="I713" s="30"/>
      <c r="J713" s="30"/>
    </row>
    <row r="714" spans="2:10" ht="13.2">
      <c r="B714" s="50"/>
      <c r="D714" s="51"/>
      <c r="I714" s="30"/>
      <c r="J714" s="30"/>
    </row>
    <row r="715" spans="2:10" ht="13.2">
      <c r="B715" s="50"/>
      <c r="D715" s="51"/>
      <c r="I715" s="30"/>
      <c r="J715" s="30"/>
    </row>
    <row r="716" spans="2:10" ht="13.2">
      <c r="B716" s="50"/>
      <c r="D716" s="51"/>
      <c r="I716" s="30"/>
      <c r="J716" s="30"/>
    </row>
    <row r="717" spans="2:10" ht="13.2">
      <c r="B717" s="50"/>
      <c r="D717" s="51"/>
      <c r="I717" s="30"/>
      <c r="J717" s="30"/>
    </row>
    <row r="718" spans="2:10" ht="13.2">
      <c r="B718" s="50"/>
      <c r="D718" s="51"/>
      <c r="I718" s="30"/>
      <c r="J718" s="30"/>
    </row>
    <row r="719" spans="2:10" ht="13.2">
      <c r="B719" s="50"/>
      <c r="D719" s="51"/>
      <c r="I719" s="30"/>
      <c r="J719" s="30"/>
    </row>
    <row r="720" spans="2:10" ht="13.2">
      <c r="B720" s="50"/>
      <c r="D720" s="51"/>
      <c r="I720" s="30"/>
      <c r="J720" s="30"/>
    </row>
    <row r="721" spans="2:10" ht="13.2">
      <c r="B721" s="50"/>
      <c r="D721" s="51"/>
      <c r="I721" s="30"/>
      <c r="J721" s="30"/>
    </row>
    <row r="722" spans="2:10" ht="13.2">
      <c r="B722" s="50"/>
      <c r="D722" s="51"/>
      <c r="I722" s="30"/>
      <c r="J722" s="30"/>
    </row>
    <row r="723" spans="2:10" ht="13.2">
      <c r="B723" s="50"/>
      <c r="D723" s="51"/>
      <c r="I723" s="30"/>
      <c r="J723" s="30"/>
    </row>
    <row r="724" spans="2:10" ht="13.2">
      <c r="B724" s="50"/>
      <c r="D724" s="51"/>
      <c r="I724" s="30"/>
      <c r="J724" s="30"/>
    </row>
    <row r="725" spans="2:10" ht="13.2">
      <c r="B725" s="50"/>
      <c r="D725" s="51"/>
      <c r="I725" s="30"/>
      <c r="J725" s="30"/>
    </row>
    <row r="726" spans="2:10" ht="13.2">
      <c r="B726" s="50"/>
      <c r="D726" s="51"/>
      <c r="I726" s="30"/>
      <c r="J726" s="30"/>
    </row>
    <row r="727" spans="2:10" ht="13.2">
      <c r="B727" s="50"/>
      <c r="D727" s="51"/>
      <c r="I727" s="30"/>
      <c r="J727" s="30"/>
    </row>
    <row r="728" spans="2:10" ht="13.2">
      <c r="B728" s="50"/>
      <c r="D728" s="51"/>
      <c r="I728" s="30"/>
      <c r="J728" s="30"/>
    </row>
    <row r="729" spans="2:10" ht="13.2">
      <c r="B729" s="50"/>
      <c r="D729" s="51"/>
      <c r="I729" s="30"/>
      <c r="J729" s="30"/>
    </row>
    <row r="730" spans="2:10" ht="13.2">
      <c r="B730" s="50"/>
      <c r="D730" s="51"/>
      <c r="I730" s="30"/>
      <c r="J730" s="30"/>
    </row>
    <row r="731" spans="2:10" ht="13.2">
      <c r="B731" s="50"/>
      <c r="D731" s="51"/>
      <c r="I731" s="30"/>
      <c r="J731" s="30"/>
    </row>
    <row r="732" spans="2:10" ht="13.2">
      <c r="B732" s="50"/>
      <c r="D732" s="51"/>
      <c r="I732" s="30"/>
      <c r="J732" s="30"/>
    </row>
    <row r="733" spans="2:10" ht="13.2">
      <c r="B733" s="50"/>
      <c r="D733" s="51"/>
      <c r="I733" s="30"/>
      <c r="J733" s="30"/>
    </row>
    <row r="734" spans="2:10" ht="13.2">
      <c r="B734" s="50"/>
      <c r="D734" s="51"/>
      <c r="I734" s="30"/>
      <c r="J734" s="30"/>
    </row>
    <row r="735" spans="2:10" ht="13.2">
      <c r="B735" s="50"/>
      <c r="D735" s="51"/>
      <c r="I735" s="30"/>
      <c r="J735" s="30"/>
    </row>
    <row r="736" spans="2:10" ht="13.2">
      <c r="B736" s="50"/>
      <c r="D736" s="51"/>
      <c r="I736" s="30"/>
      <c r="J736" s="30"/>
    </row>
    <row r="737" spans="2:10" ht="13.2">
      <c r="B737" s="50"/>
      <c r="D737" s="51"/>
      <c r="I737" s="30"/>
      <c r="J737" s="30"/>
    </row>
    <row r="738" spans="2:10" ht="13.2">
      <c r="B738" s="50"/>
      <c r="D738" s="51"/>
      <c r="I738" s="30"/>
      <c r="J738" s="30"/>
    </row>
    <row r="739" spans="2:10" ht="13.2">
      <c r="B739" s="50"/>
      <c r="D739" s="51"/>
      <c r="I739" s="30"/>
      <c r="J739" s="30"/>
    </row>
    <row r="740" spans="2:10" ht="13.2">
      <c r="B740" s="50"/>
      <c r="D740" s="51"/>
      <c r="I740" s="30"/>
      <c r="J740" s="30"/>
    </row>
    <row r="741" spans="2:10" ht="13.2">
      <c r="B741" s="50"/>
      <c r="D741" s="51"/>
      <c r="I741" s="30"/>
      <c r="J741" s="30"/>
    </row>
    <row r="742" spans="2:10" ht="13.2">
      <c r="B742" s="50"/>
      <c r="D742" s="51"/>
      <c r="I742" s="30"/>
      <c r="J742" s="30"/>
    </row>
    <row r="743" spans="2:10" ht="13.2">
      <c r="B743" s="50"/>
      <c r="D743" s="51"/>
      <c r="I743" s="30"/>
      <c r="J743" s="30"/>
    </row>
    <row r="744" spans="2:10" ht="13.2">
      <c r="B744" s="50"/>
      <c r="D744" s="51"/>
      <c r="I744" s="30"/>
      <c r="J744" s="30"/>
    </row>
    <row r="745" spans="2:10" ht="13.2">
      <c r="B745" s="50"/>
      <c r="D745" s="51"/>
      <c r="I745" s="30"/>
      <c r="J745" s="30"/>
    </row>
    <row r="746" spans="2:10" ht="13.2">
      <c r="B746" s="50"/>
      <c r="D746" s="51"/>
      <c r="I746" s="30"/>
      <c r="J746" s="30"/>
    </row>
    <row r="747" spans="2:10" ht="13.2">
      <c r="B747" s="50"/>
      <c r="D747" s="51"/>
      <c r="I747" s="30"/>
      <c r="J747" s="30"/>
    </row>
    <row r="748" spans="2:10" ht="13.2">
      <c r="B748" s="50"/>
      <c r="D748" s="51"/>
      <c r="I748" s="30"/>
      <c r="J748" s="30"/>
    </row>
    <row r="749" spans="2:10" ht="13.2">
      <c r="B749" s="50"/>
      <c r="D749" s="51"/>
      <c r="I749" s="30"/>
      <c r="J749" s="30"/>
    </row>
    <row r="750" spans="2:10" ht="13.2">
      <c r="B750" s="50"/>
      <c r="D750" s="51"/>
      <c r="I750" s="30"/>
      <c r="J750" s="30"/>
    </row>
    <row r="751" spans="2:10" ht="13.2">
      <c r="B751" s="50"/>
      <c r="D751" s="51"/>
      <c r="I751" s="30"/>
      <c r="J751" s="30"/>
    </row>
    <row r="752" spans="2:10" ht="13.2">
      <c r="B752" s="50"/>
      <c r="D752" s="51"/>
      <c r="I752" s="30"/>
      <c r="J752" s="30"/>
    </row>
    <row r="753" spans="2:10" ht="13.2">
      <c r="B753" s="50"/>
      <c r="D753" s="51"/>
      <c r="I753" s="30"/>
      <c r="J753" s="30"/>
    </row>
    <row r="754" spans="2:10" ht="13.2">
      <c r="B754" s="50"/>
      <c r="D754" s="51"/>
      <c r="I754" s="30"/>
      <c r="J754" s="30"/>
    </row>
    <row r="755" spans="2:10" ht="13.2">
      <c r="B755" s="50"/>
      <c r="D755" s="51"/>
      <c r="I755" s="30"/>
      <c r="J755" s="30"/>
    </row>
    <row r="756" spans="2:10" ht="13.2">
      <c r="B756" s="50"/>
      <c r="D756" s="51"/>
      <c r="I756" s="30"/>
      <c r="J756" s="30"/>
    </row>
    <row r="757" spans="2:10" ht="13.2">
      <c r="B757" s="50"/>
      <c r="D757" s="51"/>
      <c r="I757" s="30"/>
      <c r="J757" s="30"/>
    </row>
    <row r="758" spans="2:10" ht="13.2">
      <c r="B758" s="50"/>
      <c r="D758" s="51"/>
      <c r="I758" s="30"/>
      <c r="J758" s="30"/>
    </row>
    <row r="759" spans="2:10" ht="13.2">
      <c r="B759" s="50"/>
      <c r="D759" s="51"/>
      <c r="I759" s="30"/>
      <c r="J759" s="30"/>
    </row>
    <row r="760" spans="2:10" ht="13.2">
      <c r="B760" s="50"/>
      <c r="D760" s="51"/>
      <c r="I760" s="30"/>
      <c r="J760" s="30"/>
    </row>
    <row r="761" spans="2:10" ht="13.2">
      <c r="B761" s="50"/>
      <c r="D761" s="51"/>
      <c r="I761" s="30"/>
      <c r="J761" s="30"/>
    </row>
    <row r="762" spans="2:10" ht="13.2">
      <c r="B762" s="50"/>
      <c r="D762" s="51"/>
      <c r="I762" s="30"/>
      <c r="J762" s="30"/>
    </row>
    <row r="763" spans="2:10" ht="13.2">
      <c r="B763" s="50"/>
      <c r="D763" s="51"/>
      <c r="I763" s="30"/>
      <c r="J763" s="30"/>
    </row>
    <row r="764" spans="2:10" ht="13.2">
      <c r="B764" s="50"/>
      <c r="D764" s="51"/>
      <c r="I764" s="30"/>
      <c r="J764" s="30"/>
    </row>
    <row r="765" spans="2:10" ht="13.2">
      <c r="B765" s="50"/>
      <c r="D765" s="51"/>
      <c r="I765" s="30"/>
      <c r="J765" s="30"/>
    </row>
    <row r="766" spans="2:10" ht="13.2">
      <c r="B766" s="50"/>
      <c r="D766" s="51"/>
      <c r="I766" s="30"/>
      <c r="J766" s="30"/>
    </row>
    <row r="767" spans="2:10" ht="13.2">
      <c r="B767" s="50"/>
      <c r="D767" s="51"/>
      <c r="I767" s="30"/>
      <c r="J767" s="30"/>
    </row>
    <row r="768" spans="2:10" ht="13.2">
      <c r="B768" s="50"/>
      <c r="D768" s="51"/>
      <c r="I768" s="30"/>
      <c r="J768" s="30"/>
    </row>
    <row r="769" spans="2:10" ht="13.2">
      <c r="B769" s="50"/>
      <c r="D769" s="51"/>
      <c r="I769" s="30"/>
      <c r="J769" s="30"/>
    </row>
    <row r="770" spans="2:10" ht="13.2">
      <c r="B770" s="50"/>
      <c r="D770" s="51"/>
      <c r="I770" s="30"/>
      <c r="J770" s="30"/>
    </row>
    <row r="771" spans="2:10" ht="13.2">
      <c r="B771" s="50"/>
      <c r="D771" s="51"/>
      <c r="I771" s="30"/>
      <c r="J771" s="30"/>
    </row>
    <row r="772" spans="2:10" ht="13.2">
      <c r="B772" s="50"/>
      <c r="D772" s="51"/>
      <c r="I772" s="30"/>
      <c r="J772" s="30"/>
    </row>
    <row r="773" spans="2:10" ht="13.2">
      <c r="B773" s="50"/>
      <c r="D773" s="51"/>
      <c r="I773" s="30"/>
      <c r="J773" s="30"/>
    </row>
    <row r="774" spans="2:10" ht="13.2">
      <c r="B774" s="50"/>
      <c r="D774" s="51"/>
      <c r="I774" s="30"/>
      <c r="J774" s="30"/>
    </row>
    <row r="775" spans="2:10" ht="13.2">
      <c r="B775" s="50"/>
      <c r="D775" s="51"/>
      <c r="I775" s="30"/>
      <c r="J775" s="30"/>
    </row>
    <row r="776" spans="2:10" ht="13.2">
      <c r="B776" s="50"/>
      <c r="D776" s="51"/>
      <c r="I776" s="30"/>
      <c r="J776" s="30"/>
    </row>
    <row r="777" spans="2:10" ht="13.2">
      <c r="B777" s="50"/>
      <c r="D777" s="51"/>
      <c r="I777" s="30"/>
      <c r="J777" s="30"/>
    </row>
    <row r="778" spans="2:10" ht="13.2">
      <c r="B778" s="50"/>
      <c r="D778" s="51"/>
      <c r="I778" s="30"/>
      <c r="J778" s="30"/>
    </row>
    <row r="779" spans="2:10" ht="13.2">
      <c r="B779" s="50"/>
      <c r="D779" s="51"/>
      <c r="I779" s="30"/>
      <c r="J779" s="30"/>
    </row>
    <row r="780" spans="2:10" ht="13.2">
      <c r="B780" s="50"/>
      <c r="D780" s="51"/>
      <c r="I780" s="30"/>
      <c r="J780" s="30"/>
    </row>
    <row r="781" spans="2:10" ht="13.2">
      <c r="B781" s="50"/>
      <c r="D781" s="51"/>
      <c r="I781" s="30"/>
      <c r="J781" s="30"/>
    </row>
    <row r="782" spans="2:10" ht="13.2">
      <c r="B782" s="50"/>
      <c r="D782" s="51"/>
      <c r="I782" s="30"/>
      <c r="J782" s="30"/>
    </row>
    <row r="783" spans="2:10" ht="13.2">
      <c r="B783" s="50"/>
      <c r="D783" s="51"/>
      <c r="I783" s="30"/>
      <c r="J783" s="30"/>
    </row>
    <row r="784" spans="2:10" ht="13.2">
      <c r="B784" s="50"/>
      <c r="D784" s="51"/>
      <c r="I784" s="30"/>
      <c r="J784" s="30"/>
    </row>
    <row r="785" spans="2:10" ht="13.2">
      <c r="B785" s="50"/>
      <c r="D785" s="51"/>
      <c r="I785" s="30"/>
      <c r="J785" s="30"/>
    </row>
    <row r="786" spans="2:10" ht="13.2">
      <c r="B786" s="50"/>
      <c r="D786" s="51"/>
      <c r="I786" s="30"/>
      <c r="J786" s="30"/>
    </row>
    <row r="787" spans="2:10" ht="13.2">
      <c r="B787" s="50"/>
      <c r="D787" s="51"/>
      <c r="I787" s="30"/>
      <c r="J787" s="30"/>
    </row>
    <row r="788" spans="2:10" ht="13.2">
      <c r="B788" s="50"/>
      <c r="D788" s="51"/>
      <c r="I788" s="30"/>
      <c r="J788" s="30"/>
    </row>
    <row r="789" spans="2:10" ht="13.2">
      <c r="B789" s="50"/>
      <c r="D789" s="51"/>
      <c r="I789" s="30"/>
      <c r="J789" s="30"/>
    </row>
    <row r="790" spans="2:10" ht="13.2">
      <c r="B790" s="50"/>
      <c r="D790" s="51"/>
      <c r="I790" s="30"/>
      <c r="J790" s="30"/>
    </row>
    <row r="791" spans="2:10" ht="13.2">
      <c r="B791" s="50"/>
      <c r="D791" s="51"/>
      <c r="I791" s="30"/>
      <c r="J791" s="30"/>
    </row>
    <row r="792" spans="2:10" ht="13.2">
      <c r="B792" s="50"/>
      <c r="D792" s="51"/>
      <c r="I792" s="30"/>
      <c r="J792" s="30"/>
    </row>
    <row r="793" spans="2:10" ht="13.2">
      <c r="B793" s="50"/>
      <c r="D793" s="51"/>
      <c r="I793" s="30"/>
      <c r="J793" s="30"/>
    </row>
    <row r="794" spans="2:10" ht="13.2">
      <c r="B794" s="50"/>
      <c r="D794" s="51"/>
      <c r="I794" s="30"/>
      <c r="J794" s="30"/>
    </row>
    <row r="795" spans="2:10" ht="13.2">
      <c r="B795" s="50"/>
      <c r="D795" s="51"/>
      <c r="I795" s="30"/>
      <c r="J795" s="30"/>
    </row>
    <row r="796" spans="2:10" ht="13.2">
      <c r="B796" s="50"/>
      <c r="D796" s="51"/>
      <c r="I796" s="30"/>
      <c r="J796" s="30"/>
    </row>
    <row r="797" spans="2:10" ht="13.2">
      <c r="B797" s="50"/>
      <c r="D797" s="51"/>
      <c r="I797" s="30"/>
      <c r="J797" s="30"/>
    </row>
    <row r="798" spans="2:10" ht="13.2">
      <c r="B798" s="50"/>
      <c r="D798" s="51"/>
      <c r="I798" s="30"/>
      <c r="J798" s="30"/>
    </row>
    <row r="799" spans="2:10" ht="13.2">
      <c r="B799" s="50"/>
      <c r="D799" s="51"/>
      <c r="I799" s="30"/>
      <c r="J799" s="30"/>
    </row>
    <row r="800" spans="2:10" ht="13.2">
      <c r="B800" s="50"/>
      <c r="D800" s="51"/>
      <c r="I800" s="30"/>
      <c r="J800" s="30"/>
    </row>
    <row r="801" spans="2:10" ht="13.2">
      <c r="B801" s="50"/>
      <c r="D801" s="51"/>
      <c r="I801" s="30"/>
      <c r="J801" s="30"/>
    </row>
    <row r="802" spans="2:10" ht="13.2">
      <c r="B802" s="50"/>
      <c r="D802" s="51"/>
      <c r="I802" s="30"/>
      <c r="J802" s="30"/>
    </row>
    <row r="803" spans="2:10" ht="13.2">
      <c r="B803" s="50"/>
      <c r="D803" s="51"/>
      <c r="I803" s="30"/>
      <c r="J803" s="30"/>
    </row>
    <row r="804" spans="2:10" ht="13.2">
      <c r="B804" s="50"/>
      <c r="D804" s="51"/>
      <c r="I804" s="30"/>
      <c r="J804" s="30"/>
    </row>
    <row r="805" spans="2:10" ht="13.2">
      <c r="B805" s="50"/>
      <c r="D805" s="51"/>
      <c r="I805" s="30"/>
      <c r="J805" s="30"/>
    </row>
    <row r="806" spans="2:10" ht="13.2">
      <c r="B806" s="50"/>
      <c r="D806" s="51"/>
      <c r="I806" s="30"/>
      <c r="J806" s="30"/>
    </row>
    <row r="807" spans="2:10" ht="13.2">
      <c r="B807" s="50"/>
      <c r="D807" s="51"/>
      <c r="I807" s="30"/>
      <c r="J807" s="30"/>
    </row>
    <row r="808" spans="2:10" ht="13.2">
      <c r="B808" s="50"/>
      <c r="D808" s="51"/>
      <c r="I808" s="30"/>
      <c r="J808" s="30"/>
    </row>
    <row r="809" spans="2:10" ht="13.2">
      <c r="B809" s="50"/>
      <c r="D809" s="51"/>
      <c r="I809" s="30"/>
      <c r="J809" s="30"/>
    </row>
    <row r="810" spans="2:10" ht="13.2">
      <c r="B810" s="50"/>
      <c r="D810" s="51"/>
      <c r="I810" s="30"/>
      <c r="J810" s="30"/>
    </row>
    <row r="811" spans="2:10" ht="13.2">
      <c r="B811" s="50"/>
      <c r="D811" s="51"/>
      <c r="I811" s="30"/>
      <c r="J811" s="30"/>
    </row>
    <row r="812" spans="2:10" ht="13.2">
      <c r="B812" s="50"/>
      <c r="D812" s="51"/>
      <c r="I812" s="30"/>
      <c r="J812" s="30"/>
    </row>
    <row r="813" spans="2:10" ht="13.2">
      <c r="B813" s="50"/>
      <c r="D813" s="51"/>
      <c r="I813" s="30"/>
      <c r="J813" s="30"/>
    </row>
    <row r="814" spans="2:10" ht="13.2">
      <c r="B814" s="50"/>
      <c r="D814" s="51"/>
      <c r="I814" s="30"/>
      <c r="J814" s="30"/>
    </row>
    <row r="815" spans="2:10" ht="13.2">
      <c r="B815" s="50"/>
      <c r="D815" s="51"/>
      <c r="I815" s="30"/>
      <c r="J815" s="30"/>
    </row>
    <row r="816" spans="2:10" ht="13.2">
      <c r="B816" s="50"/>
      <c r="D816" s="51"/>
      <c r="I816" s="30"/>
      <c r="J816" s="30"/>
    </row>
    <row r="817" spans="2:10" ht="13.2">
      <c r="B817" s="50"/>
      <c r="D817" s="51"/>
      <c r="I817" s="30"/>
      <c r="J817" s="30"/>
    </row>
    <row r="818" spans="2:10" ht="13.2">
      <c r="B818" s="50"/>
      <c r="D818" s="51"/>
      <c r="I818" s="30"/>
      <c r="J818" s="30"/>
    </row>
    <row r="819" spans="2:10" ht="13.2">
      <c r="B819" s="50"/>
      <c r="D819" s="51"/>
      <c r="I819" s="30"/>
      <c r="J819" s="30"/>
    </row>
    <row r="820" spans="2:10" ht="13.2">
      <c r="B820" s="50"/>
      <c r="D820" s="51"/>
      <c r="I820" s="30"/>
      <c r="J820" s="30"/>
    </row>
    <row r="821" spans="2:10" ht="13.2">
      <c r="B821" s="50"/>
      <c r="D821" s="51"/>
      <c r="I821" s="30"/>
      <c r="J821" s="30"/>
    </row>
    <row r="822" spans="2:10" ht="13.2">
      <c r="B822" s="50"/>
      <c r="D822" s="51"/>
      <c r="I822" s="30"/>
      <c r="J822" s="30"/>
    </row>
    <row r="823" spans="2:10" ht="13.2">
      <c r="B823" s="50"/>
      <c r="D823" s="51"/>
      <c r="I823" s="30"/>
      <c r="J823" s="30"/>
    </row>
    <row r="824" spans="2:10" ht="13.2">
      <c r="B824" s="50"/>
      <c r="D824" s="51"/>
      <c r="I824" s="30"/>
      <c r="J824" s="30"/>
    </row>
    <row r="825" spans="2:10" ht="13.2">
      <c r="B825" s="50"/>
      <c r="D825" s="51"/>
      <c r="I825" s="30"/>
      <c r="J825" s="30"/>
    </row>
    <row r="826" spans="2:10" ht="13.2">
      <c r="B826" s="50"/>
      <c r="D826" s="51"/>
      <c r="I826" s="30"/>
      <c r="J826" s="30"/>
    </row>
    <row r="827" spans="2:10" ht="13.2">
      <c r="B827" s="50"/>
      <c r="D827" s="51"/>
      <c r="I827" s="30"/>
      <c r="J827" s="30"/>
    </row>
    <row r="828" spans="2:10" ht="13.2">
      <c r="B828" s="50"/>
      <c r="D828" s="51"/>
      <c r="I828" s="30"/>
      <c r="J828" s="30"/>
    </row>
    <row r="829" spans="2:10" ht="13.2">
      <c r="B829" s="50"/>
      <c r="D829" s="51"/>
      <c r="I829" s="30"/>
      <c r="J829" s="30"/>
    </row>
    <row r="830" spans="2:10" ht="13.2">
      <c r="B830" s="50"/>
      <c r="D830" s="51"/>
      <c r="I830" s="30"/>
      <c r="J830" s="30"/>
    </row>
    <row r="831" spans="2:10" ht="13.2">
      <c r="B831" s="50"/>
      <c r="D831" s="51"/>
      <c r="I831" s="30"/>
      <c r="J831" s="30"/>
    </row>
    <row r="832" spans="2:10" ht="13.2">
      <c r="B832" s="50"/>
      <c r="D832" s="51"/>
      <c r="I832" s="30"/>
      <c r="J832" s="30"/>
    </row>
    <row r="833" spans="2:10" ht="13.2">
      <c r="B833" s="50"/>
      <c r="D833" s="51"/>
      <c r="I833" s="30"/>
      <c r="J833" s="30"/>
    </row>
    <row r="834" spans="2:10" ht="13.2">
      <c r="B834" s="50"/>
      <c r="D834" s="51"/>
      <c r="I834" s="30"/>
      <c r="J834" s="30"/>
    </row>
    <row r="835" spans="2:10" ht="13.2">
      <c r="B835" s="50"/>
      <c r="D835" s="51"/>
      <c r="I835" s="30"/>
      <c r="J835" s="30"/>
    </row>
    <row r="836" spans="2:10" ht="13.2">
      <c r="B836" s="50"/>
      <c r="D836" s="51"/>
      <c r="I836" s="30"/>
      <c r="J836" s="30"/>
    </row>
    <row r="837" spans="2:10" ht="13.2">
      <c r="B837" s="50"/>
      <c r="D837" s="51"/>
      <c r="I837" s="30"/>
      <c r="J837" s="30"/>
    </row>
    <row r="838" spans="2:10" ht="13.2">
      <c r="B838" s="50"/>
      <c r="D838" s="51"/>
      <c r="I838" s="30"/>
      <c r="J838" s="30"/>
    </row>
    <row r="839" spans="2:10" ht="13.2">
      <c r="B839" s="50"/>
      <c r="D839" s="51"/>
      <c r="I839" s="30"/>
      <c r="J839" s="30"/>
    </row>
    <row r="840" spans="2:10" ht="13.2">
      <c r="B840" s="50"/>
      <c r="D840" s="51"/>
      <c r="I840" s="30"/>
      <c r="J840" s="30"/>
    </row>
    <row r="841" spans="2:10" ht="13.2">
      <c r="B841" s="50"/>
      <c r="D841" s="51"/>
      <c r="I841" s="30"/>
      <c r="J841" s="30"/>
    </row>
    <row r="842" spans="2:10" ht="13.2">
      <c r="B842" s="50"/>
      <c r="D842" s="51"/>
      <c r="I842" s="30"/>
      <c r="J842" s="30"/>
    </row>
    <row r="843" spans="2:10" ht="13.2">
      <c r="B843" s="50"/>
      <c r="D843" s="51"/>
      <c r="I843" s="30"/>
      <c r="J843" s="30"/>
    </row>
    <row r="844" spans="2:10" ht="13.2">
      <c r="B844" s="50"/>
      <c r="D844" s="51"/>
      <c r="I844" s="30"/>
      <c r="J844" s="30"/>
    </row>
    <row r="845" spans="2:10" ht="13.2">
      <c r="B845" s="50"/>
      <c r="D845" s="51"/>
      <c r="I845" s="30"/>
      <c r="J845" s="30"/>
    </row>
    <row r="846" spans="2:10" ht="13.2">
      <c r="B846" s="50"/>
      <c r="D846" s="51"/>
      <c r="I846" s="30"/>
      <c r="J846" s="30"/>
    </row>
    <row r="847" spans="2:10" ht="13.2">
      <c r="B847" s="50"/>
      <c r="D847" s="51"/>
      <c r="I847" s="30"/>
      <c r="J847" s="30"/>
    </row>
    <row r="848" spans="2:10" ht="13.2">
      <c r="B848" s="50"/>
      <c r="D848" s="51"/>
      <c r="I848" s="30"/>
      <c r="J848" s="30"/>
    </row>
    <row r="849" spans="2:10" ht="13.2">
      <c r="B849" s="50"/>
      <c r="D849" s="51"/>
      <c r="I849" s="30"/>
      <c r="J849" s="30"/>
    </row>
    <row r="850" spans="2:10" ht="13.2">
      <c r="B850" s="50"/>
      <c r="D850" s="51"/>
      <c r="I850" s="30"/>
      <c r="J850" s="30"/>
    </row>
    <row r="851" spans="2:10" ht="13.2">
      <c r="B851" s="50"/>
      <c r="D851" s="51"/>
      <c r="I851" s="30"/>
      <c r="J851" s="30"/>
    </row>
    <row r="852" spans="2:10" ht="13.2">
      <c r="B852" s="50"/>
      <c r="D852" s="51"/>
      <c r="I852" s="30"/>
      <c r="J852" s="30"/>
    </row>
    <row r="853" spans="2:10" ht="13.2">
      <c r="B853" s="50"/>
      <c r="D853" s="51"/>
      <c r="I853" s="30"/>
      <c r="J853" s="30"/>
    </row>
    <row r="854" spans="2:10" ht="13.2">
      <c r="B854" s="50"/>
      <c r="D854" s="51"/>
      <c r="I854" s="30"/>
      <c r="J854" s="30"/>
    </row>
    <row r="855" spans="2:10" ht="13.2">
      <c r="B855" s="50"/>
      <c r="D855" s="51"/>
      <c r="I855" s="30"/>
      <c r="J855" s="30"/>
    </row>
    <row r="856" spans="2:10" ht="13.2">
      <c r="B856" s="50"/>
      <c r="D856" s="51"/>
      <c r="I856" s="30"/>
      <c r="J856" s="30"/>
    </row>
    <row r="857" spans="2:10" ht="13.2">
      <c r="B857" s="50"/>
      <c r="D857" s="51"/>
      <c r="I857" s="30"/>
      <c r="J857" s="30"/>
    </row>
    <row r="858" spans="2:10" ht="13.2">
      <c r="B858" s="50"/>
      <c r="D858" s="51"/>
      <c r="I858" s="30"/>
      <c r="J858" s="30"/>
    </row>
    <row r="859" spans="2:10" ht="13.2">
      <c r="B859" s="50"/>
      <c r="D859" s="51"/>
      <c r="I859" s="30"/>
      <c r="J859" s="30"/>
    </row>
    <row r="860" spans="2:10" ht="13.2">
      <c r="B860" s="50"/>
      <c r="D860" s="51"/>
      <c r="I860" s="30"/>
      <c r="J860" s="30"/>
    </row>
    <row r="861" spans="2:10" ht="13.2">
      <c r="B861" s="50"/>
      <c r="D861" s="51"/>
      <c r="I861" s="30"/>
      <c r="J861" s="30"/>
    </row>
    <row r="862" spans="2:10" ht="13.2">
      <c r="B862" s="50"/>
      <c r="D862" s="51"/>
      <c r="I862" s="30"/>
      <c r="J862" s="30"/>
    </row>
    <row r="863" spans="2:10" ht="13.2">
      <c r="B863" s="50"/>
      <c r="D863" s="51"/>
      <c r="I863" s="30"/>
      <c r="J863" s="30"/>
    </row>
    <row r="864" spans="2:10" ht="13.2">
      <c r="B864" s="50"/>
      <c r="D864" s="51"/>
      <c r="I864" s="30"/>
      <c r="J864" s="30"/>
    </row>
    <row r="865" spans="2:10" ht="13.2">
      <c r="B865" s="50"/>
      <c r="D865" s="51"/>
      <c r="I865" s="30"/>
      <c r="J865" s="30"/>
    </row>
    <row r="866" spans="2:10" ht="13.2">
      <c r="B866" s="50"/>
      <c r="D866" s="51"/>
      <c r="I866" s="30"/>
      <c r="J866" s="30"/>
    </row>
    <row r="867" spans="2:10" ht="13.2">
      <c r="B867" s="50"/>
      <c r="D867" s="51"/>
      <c r="I867" s="30"/>
      <c r="J867" s="30"/>
    </row>
    <row r="868" spans="2:10" ht="13.2">
      <c r="B868" s="50"/>
      <c r="D868" s="51"/>
      <c r="I868" s="30"/>
      <c r="J868" s="30"/>
    </row>
    <row r="869" spans="2:10" ht="13.2">
      <c r="B869" s="50"/>
      <c r="D869" s="51"/>
      <c r="I869" s="30"/>
      <c r="J869" s="30"/>
    </row>
    <row r="870" spans="2:10" ht="13.2">
      <c r="B870" s="50"/>
      <c r="D870" s="51"/>
      <c r="I870" s="30"/>
      <c r="J870" s="30"/>
    </row>
    <row r="871" spans="2:10" ht="13.2">
      <c r="B871" s="50"/>
      <c r="D871" s="51"/>
      <c r="I871" s="30"/>
      <c r="J871" s="30"/>
    </row>
    <row r="872" spans="2:10" ht="13.2">
      <c r="B872" s="50"/>
      <c r="D872" s="51"/>
      <c r="I872" s="30"/>
      <c r="J872" s="30"/>
    </row>
    <row r="873" spans="2:10" ht="13.2">
      <c r="B873" s="50"/>
      <c r="D873" s="51"/>
      <c r="I873" s="30"/>
      <c r="J873" s="30"/>
    </row>
    <row r="874" spans="2:10" ht="13.2">
      <c r="B874" s="50"/>
      <c r="D874" s="51"/>
      <c r="I874" s="30"/>
      <c r="J874" s="30"/>
    </row>
    <row r="875" spans="2:10" ht="13.2">
      <c r="B875" s="50"/>
      <c r="D875" s="51"/>
      <c r="I875" s="30"/>
      <c r="J875" s="30"/>
    </row>
    <row r="876" spans="2:10" ht="13.2">
      <c r="B876" s="50"/>
      <c r="D876" s="51"/>
      <c r="I876" s="30"/>
      <c r="J876" s="30"/>
    </row>
    <row r="877" spans="2:10" ht="13.2">
      <c r="B877" s="50"/>
      <c r="D877" s="51"/>
      <c r="I877" s="30"/>
      <c r="J877" s="30"/>
    </row>
    <row r="878" spans="2:10" ht="13.2">
      <c r="B878" s="50"/>
      <c r="D878" s="51"/>
      <c r="I878" s="30"/>
      <c r="J878" s="30"/>
    </row>
    <row r="879" spans="2:10" ht="13.2">
      <c r="B879" s="50"/>
      <c r="D879" s="51"/>
      <c r="I879" s="30"/>
      <c r="J879" s="30"/>
    </row>
    <row r="880" spans="2:10" ht="13.2">
      <c r="B880" s="50"/>
      <c r="D880" s="51"/>
      <c r="I880" s="30"/>
      <c r="J880" s="30"/>
    </row>
    <row r="881" spans="2:10" ht="13.2">
      <c r="B881" s="50"/>
      <c r="D881" s="51"/>
      <c r="I881" s="30"/>
      <c r="J881" s="30"/>
    </row>
    <row r="882" spans="2:10" ht="13.2">
      <c r="B882" s="50"/>
      <c r="D882" s="51"/>
      <c r="I882" s="30"/>
      <c r="J882" s="30"/>
    </row>
    <row r="883" spans="2:10" ht="13.2">
      <c r="B883" s="50"/>
      <c r="D883" s="51"/>
      <c r="I883" s="30"/>
      <c r="J883" s="30"/>
    </row>
    <row r="884" spans="2:10" ht="13.2">
      <c r="B884" s="50"/>
      <c r="D884" s="51"/>
      <c r="I884" s="30"/>
      <c r="J884" s="30"/>
    </row>
    <row r="885" spans="2:10" ht="13.2">
      <c r="B885" s="50"/>
      <c r="D885" s="51"/>
      <c r="I885" s="30"/>
      <c r="J885" s="30"/>
    </row>
    <row r="886" spans="2:10" ht="13.2">
      <c r="B886" s="50"/>
      <c r="D886" s="51"/>
      <c r="I886" s="30"/>
      <c r="J886" s="30"/>
    </row>
    <row r="887" spans="2:10" ht="13.2">
      <c r="B887" s="50"/>
      <c r="D887" s="51"/>
      <c r="I887" s="30"/>
      <c r="J887" s="30"/>
    </row>
    <row r="888" spans="2:10" ht="13.2">
      <c r="B888" s="50"/>
      <c r="D888" s="51"/>
      <c r="I888" s="30"/>
      <c r="J888" s="30"/>
    </row>
    <row r="889" spans="2:10" ht="13.2">
      <c r="B889" s="50"/>
      <c r="D889" s="51"/>
      <c r="I889" s="30"/>
      <c r="J889" s="30"/>
    </row>
    <row r="890" spans="2:10" ht="13.2">
      <c r="B890" s="50"/>
      <c r="D890" s="51"/>
      <c r="I890" s="30"/>
      <c r="J890" s="30"/>
    </row>
    <row r="891" spans="2:10" ht="13.2">
      <c r="B891" s="50"/>
      <c r="D891" s="51"/>
      <c r="I891" s="30"/>
      <c r="J891" s="30"/>
    </row>
    <row r="892" spans="2:10" ht="13.2">
      <c r="B892" s="50"/>
      <c r="D892" s="51"/>
      <c r="I892" s="30"/>
      <c r="J892" s="30"/>
    </row>
    <row r="893" spans="2:10" ht="13.2">
      <c r="B893" s="50"/>
      <c r="D893" s="51"/>
      <c r="I893" s="30"/>
      <c r="J893" s="30"/>
    </row>
    <row r="894" spans="2:10" ht="13.2">
      <c r="B894" s="50"/>
      <c r="D894" s="51"/>
      <c r="I894" s="30"/>
      <c r="J894" s="30"/>
    </row>
    <row r="895" spans="2:10" ht="13.2">
      <c r="B895" s="50"/>
      <c r="D895" s="51"/>
      <c r="I895" s="30"/>
      <c r="J895" s="30"/>
    </row>
    <row r="896" spans="2:10" ht="13.2">
      <c r="B896" s="50"/>
      <c r="D896" s="51"/>
      <c r="I896" s="30"/>
      <c r="J896" s="30"/>
    </row>
    <row r="897" spans="2:10" ht="13.2">
      <c r="B897" s="50"/>
      <c r="D897" s="51"/>
      <c r="I897" s="30"/>
      <c r="J897" s="30"/>
    </row>
    <row r="898" spans="2:10" ht="13.2">
      <c r="B898" s="50"/>
      <c r="D898" s="51"/>
      <c r="I898" s="30"/>
      <c r="J898" s="30"/>
    </row>
    <row r="899" spans="2:10" ht="13.2">
      <c r="B899" s="50"/>
      <c r="D899" s="51"/>
      <c r="I899" s="30"/>
      <c r="J899" s="30"/>
    </row>
    <row r="900" spans="2:10" ht="13.2">
      <c r="B900" s="50"/>
      <c r="D900" s="51"/>
      <c r="I900" s="30"/>
      <c r="J900" s="30"/>
    </row>
    <row r="901" spans="2:10" ht="13.2">
      <c r="B901" s="50"/>
      <c r="D901" s="51"/>
      <c r="I901" s="30"/>
      <c r="J901" s="30"/>
    </row>
    <row r="902" spans="2:10" ht="13.2">
      <c r="B902" s="50"/>
      <c r="D902" s="51"/>
      <c r="I902" s="30"/>
      <c r="J902" s="30"/>
    </row>
    <row r="903" spans="2:10" ht="13.2">
      <c r="B903" s="50"/>
      <c r="D903" s="51"/>
      <c r="I903" s="30"/>
      <c r="J903" s="30"/>
    </row>
    <row r="904" spans="2:10" ht="13.2">
      <c r="B904" s="50"/>
      <c r="D904" s="51"/>
      <c r="I904" s="30"/>
      <c r="J904" s="30"/>
    </row>
    <row r="905" spans="2:10" ht="13.2">
      <c r="B905" s="50"/>
      <c r="D905" s="51"/>
      <c r="I905" s="30"/>
      <c r="J905" s="30"/>
    </row>
    <row r="906" spans="2:10" ht="13.2">
      <c r="B906" s="50"/>
      <c r="D906" s="51"/>
      <c r="I906" s="30"/>
      <c r="J906" s="30"/>
    </row>
    <row r="907" spans="2:10" ht="13.2">
      <c r="B907" s="50"/>
      <c r="D907" s="51"/>
      <c r="I907" s="30"/>
      <c r="J907" s="30"/>
    </row>
    <row r="908" spans="2:10" ht="13.2">
      <c r="B908" s="50"/>
      <c r="D908" s="51"/>
      <c r="I908" s="30"/>
      <c r="J908" s="30"/>
    </row>
    <row r="909" spans="2:10" ht="13.2">
      <c r="B909" s="50"/>
      <c r="D909" s="51"/>
      <c r="I909" s="30"/>
      <c r="J909" s="30"/>
    </row>
    <row r="910" spans="2:10" ht="13.2">
      <c r="B910" s="50"/>
      <c r="D910" s="51"/>
      <c r="I910" s="30"/>
      <c r="J910" s="30"/>
    </row>
    <row r="911" spans="2:10" ht="13.2">
      <c r="B911" s="50"/>
      <c r="D911" s="51"/>
      <c r="I911" s="30"/>
      <c r="J911" s="30"/>
    </row>
    <row r="912" spans="2:10" ht="13.2">
      <c r="B912" s="50"/>
      <c r="D912" s="51"/>
      <c r="I912" s="30"/>
      <c r="J912" s="30"/>
    </row>
    <row r="913" spans="2:10" ht="13.2">
      <c r="B913" s="50"/>
      <c r="D913" s="51"/>
      <c r="I913" s="30"/>
      <c r="J913" s="30"/>
    </row>
    <row r="914" spans="2:10" ht="13.2">
      <c r="B914" s="50"/>
      <c r="D914" s="51"/>
      <c r="I914" s="30"/>
      <c r="J914" s="30"/>
    </row>
    <row r="915" spans="2:10" ht="13.2">
      <c r="B915" s="50"/>
      <c r="D915" s="51"/>
      <c r="I915" s="30"/>
      <c r="J915" s="30"/>
    </row>
    <row r="916" spans="2:10" ht="13.2">
      <c r="B916" s="50"/>
      <c r="D916" s="51"/>
      <c r="I916" s="30"/>
      <c r="J916" s="30"/>
    </row>
    <row r="917" spans="2:10" ht="13.2">
      <c r="B917" s="50"/>
      <c r="D917" s="51"/>
      <c r="I917" s="30"/>
      <c r="J917" s="30"/>
    </row>
    <row r="918" spans="2:10" ht="13.2">
      <c r="B918" s="50"/>
      <c r="D918" s="51"/>
      <c r="I918" s="30"/>
      <c r="J918" s="30"/>
    </row>
    <row r="919" spans="2:10" ht="13.2">
      <c r="B919" s="50"/>
      <c r="D919" s="51"/>
      <c r="I919" s="30"/>
      <c r="J919" s="30"/>
    </row>
    <row r="920" spans="2:10" ht="13.2">
      <c r="B920" s="50"/>
      <c r="D920" s="51"/>
      <c r="I920" s="30"/>
      <c r="J920" s="30"/>
    </row>
    <row r="921" spans="2:10" ht="13.2">
      <c r="B921" s="50"/>
      <c r="D921" s="51"/>
      <c r="I921" s="30"/>
      <c r="J921" s="30"/>
    </row>
    <row r="922" spans="2:10" ht="13.2">
      <c r="B922" s="50"/>
      <c r="D922" s="51"/>
      <c r="I922" s="30"/>
      <c r="J922" s="30"/>
    </row>
    <row r="923" spans="2:10" ht="13.2">
      <c r="B923" s="50"/>
      <c r="D923" s="51"/>
      <c r="I923" s="30"/>
      <c r="J923" s="30"/>
    </row>
    <row r="924" spans="2:10" ht="13.2">
      <c r="B924" s="50"/>
      <c r="D924" s="51"/>
      <c r="I924" s="30"/>
      <c r="J924" s="30"/>
    </row>
    <row r="925" spans="2:10" ht="13.2">
      <c r="B925" s="50"/>
      <c r="D925" s="51"/>
      <c r="I925" s="30"/>
      <c r="J925" s="30"/>
    </row>
    <row r="926" spans="2:10" ht="13.2">
      <c r="B926" s="50"/>
      <c r="D926" s="51"/>
      <c r="I926" s="30"/>
      <c r="J926" s="30"/>
    </row>
    <row r="927" spans="2:10" ht="13.2">
      <c r="B927" s="50"/>
      <c r="D927" s="51"/>
      <c r="I927" s="30"/>
      <c r="J927" s="30"/>
    </row>
    <row r="928" spans="2:10" ht="13.2">
      <c r="B928" s="50"/>
      <c r="D928" s="51"/>
      <c r="I928" s="30"/>
      <c r="J928" s="30"/>
    </row>
    <row r="929" spans="2:10" ht="13.2">
      <c r="B929" s="50"/>
      <c r="D929" s="51"/>
      <c r="I929" s="30"/>
      <c r="J929" s="30"/>
    </row>
    <row r="930" spans="2:10" ht="13.2">
      <c r="B930" s="50"/>
      <c r="D930" s="51"/>
      <c r="I930" s="30"/>
      <c r="J930" s="30"/>
    </row>
    <row r="931" spans="2:10" ht="13.2">
      <c r="B931" s="50"/>
      <c r="D931" s="51"/>
      <c r="I931" s="30"/>
      <c r="J931" s="30"/>
    </row>
    <row r="932" spans="2:10" ht="13.2">
      <c r="B932" s="50"/>
      <c r="D932" s="51"/>
      <c r="I932" s="30"/>
      <c r="J932" s="30"/>
    </row>
    <row r="933" spans="2:10" ht="13.2">
      <c r="B933" s="50"/>
      <c r="D933" s="51"/>
      <c r="I933" s="30"/>
      <c r="J933" s="30"/>
    </row>
    <row r="934" spans="2:10" ht="13.2">
      <c r="B934" s="50"/>
      <c r="D934" s="51"/>
      <c r="I934" s="30"/>
      <c r="J934" s="30"/>
    </row>
    <row r="935" spans="2:10" ht="13.2">
      <c r="B935" s="50"/>
      <c r="D935" s="51"/>
      <c r="I935" s="30"/>
      <c r="J935" s="30"/>
    </row>
    <row r="936" spans="2:10" ht="13.2">
      <c r="B936" s="50"/>
      <c r="D936" s="51"/>
      <c r="I936" s="30"/>
      <c r="J936" s="30"/>
    </row>
    <row r="937" spans="2:10" ht="13.2">
      <c r="B937" s="50"/>
      <c r="D937" s="51"/>
      <c r="I937" s="30"/>
      <c r="J937" s="30"/>
    </row>
    <row r="938" spans="2:10" ht="13.2">
      <c r="B938" s="50"/>
      <c r="D938" s="51"/>
      <c r="I938" s="30"/>
      <c r="J938" s="30"/>
    </row>
    <row r="939" spans="2:10" ht="13.2">
      <c r="B939" s="50"/>
      <c r="D939" s="51"/>
      <c r="I939" s="30"/>
      <c r="J939" s="30"/>
    </row>
    <row r="940" spans="2:10" ht="13.2">
      <c r="B940" s="50"/>
      <c r="D940" s="51"/>
      <c r="I940" s="30"/>
      <c r="J940" s="30"/>
    </row>
    <row r="941" spans="2:10" ht="13.2">
      <c r="B941" s="50"/>
      <c r="D941" s="51"/>
      <c r="I941" s="30"/>
      <c r="J941" s="30"/>
    </row>
    <row r="942" spans="2:10" ht="13.2">
      <c r="B942" s="50"/>
      <c r="D942" s="51"/>
      <c r="I942" s="30"/>
      <c r="J942" s="30"/>
    </row>
    <row r="943" spans="2:10" ht="13.2">
      <c r="B943" s="50"/>
      <c r="D943" s="51"/>
      <c r="I943" s="30"/>
      <c r="J943" s="30"/>
    </row>
    <row r="944" spans="2:10" ht="13.2">
      <c r="B944" s="50"/>
      <c r="D944" s="51"/>
      <c r="I944" s="30"/>
      <c r="J944" s="30"/>
    </row>
    <row r="945" spans="2:10" ht="13.2">
      <c r="B945" s="50"/>
      <c r="D945" s="51"/>
      <c r="I945" s="30"/>
      <c r="J945" s="30"/>
    </row>
    <row r="946" spans="2:10" ht="13.2">
      <c r="B946" s="50"/>
      <c r="D946" s="51"/>
      <c r="I946" s="30"/>
      <c r="J946" s="30"/>
    </row>
    <row r="947" spans="2:10" ht="13.2">
      <c r="B947" s="50"/>
      <c r="D947" s="51"/>
      <c r="I947" s="30"/>
      <c r="J947" s="30"/>
    </row>
    <row r="948" spans="2:10" ht="13.2">
      <c r="B948" s="50"/>
      <c r="D948" s="51"/>
      <c r="I948" s="30"/>
      <c r="J948" s="30"/>
    </row>
    <row r="949" spans="2:10" ht="13.2">
      <c r="B949" s="50"/>
      <c r="D949" s="51"/>
      <c r="I949" s="30"/>
      <c r="J949" s="30"/>
    </row>
    <row r="950" spans="2:10" ht="13.2">
      <c r="B950" s="50"/>
      <c r="D950" s="51"/>
      <c r="I950" s="30"/>
      <c r="J950" s="30"/>
    </row>
    <row r="951" spans="2:10" ht="13.2">
      <c r="B951" s="50"/>
      <c r="D951" s="51"/>
      <c r="I951" s="30"/>
      <c r="J951" s="30"/>
    </row>
    <row r="952" spans="2:10" ht="13.2">
      <c r="B952" s="50"/>
      <c r="D952" s="51"/>
      <c r="I952" s="30"/>
      <c r="J952" s="30"/>
    </row>
    <row r="953" spans="2:10" ht="13.2">
      <c r="B953" s="50"/>
      <c r="D953" s="51"/>
      <c r="I953" s="30"/>
      <c r="J953" s="30"/>
    </row>
    <row r="954" spans="2:10" ht="13.2">
      <c r="B954" s="50"/>
      <c r="D954" s="51"/>
      <c r="I954" s="30"/>
      <c r="J954" s="30"/>
    </row>
    <row r="955" spans="2:10" ht="13.2">
      <c r="B955" s="50"/>
      <c r="D955" s="51"/>
      <c r="I955" s="30"/>
      <c r="J955" s="30"/>
    </row>
    <row r="956" spans="2:10" ht="13.2">
      <c r="B956" s="50"/>
      <c r="D956" s="51"/>
      <c r="I956" s="30"/>
      <c r="J956" s="30"/>
    </row>
    <row r="957" spans="2:10" ht="13.2">
      <c r="B957" s="50"/>
      <c r="D957" s="51"/>
      <c r="I957" s="30"/>
      <c r="J957" s="30"/>
    </row>
    <row r="958" spans="2:10" ht="13.2">
      <c r="B958" s="50"/>
      <c r="D958" s="51"/>
      <c r="I958" s="30"/>
      <c r="J958" s="30"/>
    </row>
    <row r="959" spans="2:10" ht="13.2">
      <c r="B959" s="50"/>
      <c r="D959" s="51"/>
      <c r="I959" s="30"/>
      <c r="J959" s="30"/>
    </row>
    <row r="960" spans="2:10" ht="13.2">
      <c r="B960" s="50"/>
      <c r="D960" s="51"/>
      <c r="I960" s="30"/>
      <c r="J960" s="30"/>
    </row>
    <row r="961" spans="2:10" ht="13.2">
      <c r="B961" s="50"/>
      <c r="D961" s="51"/>
      <c r="I961" s="30"/>
      <c r="J961" s="30"/>
    </row>
    <row r="962" spans="2:10" ht="13.2">
      <c r="B962" s="50"/>
      <c r="D962" s="51"/>
      <c r="I962" s="30"/>
      <c r="J962" s="30"/>
    </row>
    <row r="963" spans="2:10" ht="13.2">
      <c r="B963" s="50"/>
      <c r="D963" s="51"/>
      <c r="I963" s="30"/>
      <c r="J963" s="30"/>
    </row>
    <row r="964" spans="2:10" ht="13.2">
      <c r="B964" s="50"/>
      <c r="D964" s="51"/>
      <c r="I964" s="30"/>
      <c r="J964" s="30"/>
    </row>
    <row r="965" spans="2:10" ht="13.2">
      <c r="B965" s="50"/>
      <c r="D965" s="51"/>
      <c r="I965" s="30"/>
      <c r="J965" s="30"/>
    </row>
    <row r="966" spans="2:10" ht="13.2">
      <c r="B966" s="50"/>
      <c r="D966" s="51"/>
      <c r="I966" s="30"/>
      <c r="J966" s="30"/>
    </row>
    <row r="967" spans="2:10" ht="13.2">
      <c r="B967" s="50"/>
      <c r="D967" s="51"/>
      <c r="I967" s="30"/>
      <c r="J967" s="30"/>
    </row>
    <row r="968" spans="2:10" ht="13.2">
      <c r="B968" s="50"/>
      <c r="D968" s="51"/>
      <c r="I968" s="30"/>
      <c r="J968" s="30"/>
    </row>
    <row r="969" spans="2:10" ht="13.2">
      <c r="B969" s="50"/>
      <c r="D969" s="51"/>
      <c r="I969" s="30"/>
      <c r="J969" s="30"/>
    </row>
    <row r="970" spans="2:10" ht="13.2">
      <c r="B970" s="50"/>
      <c r="D970" s="51"/>
      <c r="I970" s="30"/>
      <c r="J970" s="30"/>
    </row>
    <row r="971" spans="2:10" ht="13.2">
      <c r="B971" s="50"/>
      <c r="D971" s="51"/>
      <c r="I971" s="30"/>
      <c r="J971" s="30"/>
    </row>
    <row r="972" spans="2:10" ht="13.2">
      <c r="B972" s="50"/>
      <c r="D972" s="51"/>
      <c r="I972" s="30"/>
      <c r="J972" s="30"/>
    </row>
    <row r="973" spans="2:10" ht="13.2">
      <c r="B973" s="50"/>
      <c r="D973" s="51"/>
      <c r="I973" s="30"/>
      <c r="J973" s="30"/>
    </row>
    <row r="974" spans="2:10" ht="13.2">
      <c r="B974" s="50"/>
      <c r="D974" s="51"/>
      <c r="I974" s="30"/>
      <c r="J974" s="30"/>
    </row>
    <row r="975" spans="2:10" ht="13.2">
      <c r="B975" s="50"/>
      <c r="D975" s="51"/>
      <c r="I975" s="30"/>
      <c r="J975" s="30"/>
    </row>
    <row r="976" spans="2:10" ht="13.2">
      <c r="B976" s="50"/>
      <c r="D976" s="51"/>
      <c r="I976" s="30"/>
      <c r="J976" s="30"/>
    </row>
    <row r="977" spans="2:10" ht="13.2">
      <c r="B977" s="50"/>
      <c r="D977" s="51"/>
      <c r="I977" s="30"/>
      <c r="J977" s="30"/>
    </row>
    <row r="978" spans="2:10" ht="13.2">
      <c r="B978" s="50"/>
      <c r="D978" s="51"/>
      <c r="I978" s="30"/>
      <c r="J978" s="30"/>
    </row>
    <row r="979" spans="2:10" ht="13.2">
      <c r="B979" s="50"/>
      <c r="D979" s="51"/>
      <c r="I979" s="30"/>
      <c r="J979" s="30"/>
    </row>
    <row r="980" spans="2:10" ht="13.2">
      <c r="B980" s="50"/>
      <c r="D980" s="51"/>
      <c r="I980" s="30"/>
      <c r="J980" s="30"/>
    </row>
    <row r="981" spans="2:10" ht="13.2">
      <c r="B981" s="50"/>
      <c r="D981" s="51"/>
      <c r="I981" s="30"/>
      <c r="J981" s="30"/>
    </row>
    <row r="982" spans="2:10" ht="13.2">
      <c r="B982" s="50"/>
      <c r="D982" s="51"/>
      <c r="I982" s="30"/>
      <c r="J982" s="30"/>
    </row>
    <row r="983" spans="2:10" ht="13.2">
      <c r="B983" s="50"/>
      <c r="D983" s="51"/>
      <c r="I983" s="30"/>
      <c r="J983" s="30"/>
    </row>
    <row r="984" spans="2:10" ht="13.2">
      <c r="B984" s="50"/>
      <c r="D984" s="51"/>
      <c r="I984" s="30"/>
      <c r="J984" s="30"/>
    </row>
    <row r="985" spans="2:10" ht="13.2">
      <c r="B985" s="50"/>
      <c r="D985" s="51"/>
      <c r="I985" s="30"/>
      <c r="J985" s="30"/>
    </row>
    <row r="986" spans="2:10" ht="13.2">
      <c r="B986" s="50"/>
      <c r="D986" s="51"/>
      <c r="I986" s="30"/>
      <c r="J986" s="30"/>
    </row>
    <row r="987" spans="2:10" ht="13.2">
      <c r="B987" s="50"/>
      <c r="D987" s="51"/>
      <c r="I987" s="30"/>
      <c r="J987" s="30"/>
    </row>
    <row r="988" spans="2:10" ht="13.2">
      <c r="B988" s="50"/>
      <c r="D988" s="51"/>
      <c r="I988" s="30"/>
      <c r="J988" s="30"/>
    </row>
    <row r="989" spans="2:10" ht="13.2">
      <c r="B989" s="50"/>
      <c r="D989" s="51"/>
      <c r="I989" s="30"/>
      <c r="J989" s="30"/>
    </row>
    <row r="990" spans="2:10" ht="13.2">
      <c r="B990" s="50"/>
      <c r="D990" s="51"/>
      <c r="I990" s="30"/>
      <c r="J990" s="30"/>
    </row>
    <row r="991" spans="2:10" ht="13.2">
      <c r="B991" s="50"/>
      <c r="D991" s="51"/>
      <c r="I991" s="30"/>
      <c r="J991" s="30"/>
    </row>
    <row r="992" spans="2:10" ht="13.2">
      <c r="B992" s="50"/>
      <c r="D992" s="51"/>
      <c r="I992" s="30"/>
      <c r="J992" s="30"/>
    </row>
    <row r="993" spans="2:10" ht="13.2">
      <c r="B993" s="50"/>
      <c r="D993" s="51"/>
      <c r="I993" s="30"/>
      <c r="J993" s="30"/>
    </row>
    <row r="994" spans="2:10" ht="13.2">
      <c r="B994" s="50"/>
      <c r="D994" s="51"/>
      <c r="I994" s="30"/>
      <c r="J994" s="30"/>
    </row>
  </sheetData>
  <autoFilter ref="A2:J104">
    <sortState ref="A2:J104">
      <sortCondition ref="E2:E104"/>
      <sortCondition ref="A2:A104"/>
    </sortState>
  </autoFilter>
  <sortState ref="A3:J92">
    <sortCondition ref="E3:E92"/>
  </sortState>
  <mergeCells count="2">
    <mergeCell ref="A1:E1"/>
    <mergeCell ref="F1:J1"/>
  </mergeCells>
  <conditionalFormatting sqref="D1:D2 D105:D994">
    <cfRule type="containsText" dxfId="2" priority="1" operator="containsText" text="SŠ">
      <formula>NOT(ISERROR(SEARCH(("SŠ"),(D1))))</formula>
    </cfRule>
  </conditionalFormatting>
  <hyperlinks>
    <hyperlink ref="B4" r:id="rId1" display="http://robomaker.com.ua/"/>
  </hyperlinks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O1003"/>
  <sheetViews>
    <sheetView workbookViewId="0"/>
  </sheetViews>
  <sheetFormatPr defaultColWidth="14.44140625" defaultRowHeight="15.75" customHeight="1"/>
  <cols>
    <col min="1" max="1" width="10.6640625" customWidth="1"/>
    <col min="2" max="2" width="7.109375" customWidth="1"/>
    <col min="3" max="3" width="26.44140625" customWidth="1"/>
    <col min="4" max="4" width="27.44140625" customWidth="1"/>
    <col min="5" max="5" width="11.88671875" customWidth="1"/>
    <col min="6" max="6" width="13.44140625" customWidth="1"/>
    <col min="7" max="11" width="8.33203125" customWidth="1"/>
    <col min="12" max="12" width="12.109375" hidden="1" customWidth="1"/>
    <col min="13" max="13" width="16.5546875" hidden="1" customWidth="1"/>
    <col min="14" max="14" width="15.6640625" hidden="1" customWidth="1"/>
    <col min="15" max="15" width="14.44140625" hidden="1"/>
  </cols>
  <sheetData>
    <row r="1" spans="1:15" ht="15" customHeight="1">
      <c r="A1" s="195" t="str">
        <f ca="1">IF(L5=N4,"Čára / Line follower",IF(L5=N5,"Dálkový medvěd / Bear rescue",IF(L5=N6,"Autonomní medvěd / Bear rescue advanced",IF(L5=N7,"Sprint / Drag race - LEGO",IF(L5=N8,"Sprint - NeLEGO / Drag race - NonLEGO","Chyba")))))</f>
        <v>Autonomní medvěd / Bear rescue advanced</v>
      </c>
      <c r="B1" s="196"/>
      <c r="C1" s="196"/>
      <c r="D1" s="196"/>
      <c r="E1" s="196"/>
      <c r="F1" s="197"/>
      <c r="L1" s="144">
        <f ca="1">IF(HOUR(NOW())&gt;=10,NOW(),"0:00")</f>
        <v>43868.789635300927</v>
      </c>
      <c r="M1" s="16" t="s">
        <v>46</v>
      </c>
    </row>
    <row r="2" spans="1:15" ht="15" customHeight="1">
      <c r="A2" s="145"/>
      <c r="B2" s="146"/>
      <c r="C2" s="147" t="s">
        <v>237</v>
      </c>
      <c r="D2" s="149" t="str">
        <f ca="1">IF(L5=N4,"Dálkový medvěd / Bear rescue",IF(L5=N5,"Autonomní medvěd / Bear rescue advanced",IF(L5=N6,"Sprint / Drag race - LEGO",IF(L5=N7,"Sprint - NeLEGO / Drag race - NonLEGO",IF(L5=N8,"Čára / Line follower","Chyba")))))</f>
        <v>Sprint / Drag race - LEGO</v>
      </c>
      <c r="E2" s="146"/>
      <c r="F2" s="151"/>
      <c r="G2" s="192" t="s">
        <v>45</v>
      </c>
      <c r="H2" s="170"/>
      <c r="I2" s="170"/>
      <c r="J2" s="170"/>
      <c r="K2" s="170"/>
      <c r="L2" s="113"/>
      <c r="M2" s="16"/>
    </row>
    <row r="3" spans="1:15" ht="15" customHeight="1">
      <c r="A3" s="152" t="s">
        <v>47</v>
      </c>
      <c r="B3" s="152" t="s">
        <v>13</v>
      </c>
      <c r="C3" s="153" t="s">
        <v>6</v>
      </c>
      <c r="D3" s="152" t="s">
        <v>7</v>
      </c>
      <c r="E3" s="152" t="s">
        <v>49</v>
      </c>
      <c r="F3" s="156" t="s">
        <v>9</v>
      </c>
      <c r="G3" s="4" t="s">
        <v>18</v>
      </c>
      <c r="H3" s="4" t="s">
        <v>50</v>
      </c>
      <c r="I3" s="4" t="s">
        <v>19</v>
      </c>
      <c r="J3" s="4" t="s">
        <v>20</v>
      </c>
      <c r="K3" s="4" t="s">
        <v>21</v>
      </c>
      <c r="L3" t="str">
        <f ca="1">IF(ISODD(MINUTE(L1)),"Licha","Suda")</f>
        <v>Licha</v>
      </c>
      <c r="M3" s="16" t="s">
        <v>51</v>
      </c>
    </row>
    <row r="4" spans="1:15" ht="13.2">
      <c r="A4" s="43">
        <v>1</v>
      </c>
      <c r="B4" s="82">
        <v>21</v>
      </c>
      <c r="C4" s="157" t="s">
        <v>142</v>
      </c>
      <c r="D4" t="s">
        <v>65</v>
      </c>
      <c r="E4" s="118" t="s">
        <v>61</v>
      </c>
      <c r="F4" s="119">
        <v>1.7604166666666669E-4</v>
      </c>
      <c r="G4" s="12">
        <v>1.7604166666666669E-4</v>
      </c>
      <c r="H4" s="27">
        <v>2.1064814814814815E-4</v>
      </c>
      <c r="I4" s="27">
        <v>2.0509259259259257E-4</v>
      </c>
      <c r="J4" s="27"/>
      <c r="K4" s="27">
        <v>4.1666666666666664E-2</v>
      </c>
      <c r="L4" t="str">
        <f ca="1">IF(OR(MINUTE(L1)=0,MINUTE(L1)=4,MINUTE(L1)=8,MINUTE(L1)=12,MINUTE(L1)=16,MINUTE(L1)=20,MINUTE(L1)=24,MINUTE(L1)=28,MINUTE(L1)=32,MINUTE(L1)=36,MINUTE(L1)=40,MINUTE(L1)=44,MINUTE(L1)=48,MINUTE(L1)=52,MINUTE(L1)=56),"Čára",IF(OR(MINUTE(L1)=1,MINUTE(L1)=5,MINUTE(L1)=9,MINUTE(L1)=13,MINUTE(L1)=17,MINUTE(L1)=21,MINUTE(L1)=25,MINUTE(L1)=29,MINUTE(L1)=33,MINUTE(L1)=37,MINUTE(L1)=41,MINUTE(L1)=45,MINUTE(L1)=49,MINUTE(L1)=53,MINUTE(L1)=57),"DM",IF(OR(MINUTE(L1)=2,MINUTE(L1)=6,MINUTE(L1)=10,MINUTE(L1)=14,MINUTE(L1)=18,MINUTE(L1)=22,MINUTE(L1)=26,MINUTE(L1)=30,MINUTE(L1)=34,MINUTE(L1)=38,MINUTE(L1)=42,MINUTE(L1)=46,MINUTE(L1)=50,MINUTE(L1)=54,MINUTE(L1)=58),"AM",IF(OR(MINUTE(L1)=3,MINUTE(L1)=7,MINUTE(L1)=11,MINUTE(L1)=15,MINUTE(L1)=19,MINUTE(L1)=23,MINUTE(L1)=27,MINUTE(L1)=31,MINUTE(L1)=35,MINUTE(L1)=39,MINUTE(L1)=43,MINUTE(L1)=47,MINUTE(L1)=51,MINUTE(L1)=55,MINUTE(L1)=59),"Sprint","Chyba"))))</f>
        <v>DM</v>
      </c>
      <c r="M4" s="16" t="s">
        <v>57</v>
      </c>
      <c r="N4" s="16" t="s">
        <v>58</v>
      </c>
      <c r="O4" s="16">
        <v>0</v>
      </c>
    </row>
    <row r="5" spans="1:15" ht="13.2">
      <c r="A5" s="43">
        <v>2</v>
      </c>
      <c r="B5" s="82">
        <v>149</v>
      </c>
      <c r="C5" s="117" t="s">
        <v>224</v>
      </c>
      <c r="D5" t="s">
        <v>225</v>
      </c>
      <c r="E5" s="118" t="s">
        <v>61</v>
      </c>
      <c r="F5" s="119">
        <v>1.8356481481481482E-4</v>
      </c>
      <c r="G5" s="27">
        <v>2.275462962962963E-4</v>
      </c>
      <c r="H5" s="27">
        <v>1.8356481481481482E-4</v>
      </c>
      <c r="I5" s="27">
        <v>2.1539351851851852E-4</v>
      </c>
      <c r="J5" s="27"/>
      <c r="K5" s="27">
        <v>4.1666666666666664E-2</v>
      </c>
      <c r="L5" t="str">
        <f ca="1">IF(MOD(MINUTE($L$1),5)=0,N4,IF(MOD(MINUTE($L$1),5)=1,N5,IF(MOD(MINUTE($L$1),5)=2,N6,IF(MOD(MINUTE($L$1),5)=3,N7,IF(MOD(MINUTE($L$1),5)=4,N8,)))))</f>
        <v>AM</v>
      </c>
      <c r="M5" s="16" t="s">
        <v>62</v>
      </c>
      <c r="N5" s="16" t="s">
        <v>63</v>
      </c>
      <c r="O5" s="16">
        <v>1</v>
      </c>
    </row>
    <row r="6" spans="1:15" ht="13.2">
      <c r="A6" s="43">
        <v>3</v>
      </c>
      <c r="B6" s="82">
        <v>71</v>
      </c>
      <c r="C6" s="50" t="s">
        <v>77</v>
      </c>
      <c r="D6" t="s">
        <v>78</v>
      </c>
      <c r="E6" s="118" t="s">
        <v>61</v>
      </c>
      <c r="F6" s="119">
        <v>1.8842592592592595E-4</v>
      </c>
      <c r="G6" s="27">
        <v>1.8842592592592595E-4</v>
      </c>
      <c r="H6" s="27">
        <v>2.4583333333333331E-4</v>
      </c>
      <c r="I6" s="27"/>
      <c r="J6" s="27"/>
      <c r="K6" s="27">
        <v>4.1666666666666664E-2</v>
      </c>
      <c r="M6" s="16" t="s">
        <v>66</v>
      </c>
      <c r="N6" s="16" t="s">
        <v>67</v>
      </c>
      <c r="O6" s="16">
        <v>2</v>
      </c>
    </row>
    <row r="7" spans="1:15" ht="13.2">
      <c r="A7" s="43">
        <v>4</v>
      </c>
      <c r="B7" s="82">
        <v>19</v>
      </c>
      <c r="C7" s="117" t="s">
        <v>59</v>
      </c>
      <c r="D7" t="s">
        <v>60</v>
      </c>
      <c r="E7" s="118" t="s">
        <v>61</v>
      </c>
      <c r="F7" s="119">
        <v>2.3611111111111109E-4</v>
      </c>
      <c r="G7" s="27">
        <v>2.3611111111111109E-4</v>
      </c>
      <c r="H7" s="27">
        <v>2.8020833333333332E-4</v>
      </c>
      <c r="I7" s="27">
        <v>3.0949074074074071E-4</v>
      </c>
      <c r="J7" s="27"/>
      <c r="K7" s="27">
        <v>4.1666666666666664E-2</v>
      </c>
      <c r="M7" s="16" t="s">
        <v>71</v>
      </c>
      <c r="N7" s="16" t="s">
        <v>238</v>
      </c>
      <c r="O7" s="16">
        <v>3</v>
      </c>
    </row>
    <row r="8" spans="1:15" ht="13.2">
      <c r="A8" s="43">
        <v>5</v>
      </c>
      <c r="B8" s="82">
        <v>124</v>
      </c>
      <c r="C8" s="117" t="s">
        <v>214</v>
      </c>
      <c r="D8" t="s">
        <v>215</v>
      </c>
      <c r="E8" s="118" t="s">
        <v>70</v>
      </c>
      <c r="F8" s="119">
        <v>2.59375E-4</v>
      </c>
      <c r="G8" s="27">
        <v>2.59375E-4</v>
      </c>
      <c r="H8" s="27" t="s">
        <v>22</v>
      </c>
      <c r="I8" s="27">
        <v>3.4490740740740743E-4</v>
      </c>
      <c r="J8" s="27"/>
      <c r="K8" s="27">
        <v>4.1666666666666664E-2</v>
      </c>
      <c r="N8" s="16" t="s">
        <v>239</v>
      </c>
      <c r="O8" s="16">
        <v>4</v>
      </c>
    </row>
    <row r="9" spans="1:15" ht="13.2">
      <c r="A9" s="43">
        <v>6</v>
      </c>
      <c r="B9" s="82">
        <v>123</v>
      </c>
      <c r="C9" s="117" t="s">
        <v>240</v>
      </c>
      <c r="D9" t="s">
        <v>241</v>
      </c>
      <c r="E9" s="118" t="s">
        <v>70</v>
      </c>
      <c r="F9" s="119">
        <v>2.7604166666666668E-4</v>
      </c>
      <c r="G9" s="27">
        <v>3.7534722222222223E-4</v>
      </c>
      <c r="H9" s="27">
        <v>3.0648148148148147E-4</v>
      </c>
      <c r="I9" s="27">
        <v>2.7604166666666668E-4</v>
      </c>
      <c r="J9" s="27"/>
      <c r="K9" s="27">
        <v>4.1666666666666664E-2</v>
      </c>
    </row>
    <row r="10" spans="1:15" ht="13.2">
      <c r="A10" s="43">
        <v>7</v>
      </c>
      <c r="B10" s="82">
        <v>150</v>
      </c>
      <c r="C10" s="117" t="s">
        <v>242</v>
      </c>
      <c r="D10" t="s">
        <v>243</v>
      </c>
      <c r="E10" s="118" t="s">
        <v>70</v>
      </c>
      <c r="F10" s="119">
        <v>2.769675925925926E-4</v>
      </c>
      <c r="G10" s="27">
        <v>2.769675925925926E-4</v>
      </c>
      <c r="H10" s="27">
        <v>2.9444444444444445E-4</v>
      </c>
      <c r="I10" s="27">
        <v>2.787037037037037E-4</v>
      </c>
      <c r="J10" s="27"/>
      <c r="K10" s="27">
        <v>4.1666666666666664E-2</v>
      </c>
    </row>
    <row r="11" spans="1:15" ht="13.2">
      <c r="A11" s="43">
        <v>8</v>
      </c>
      <c r="B11" s="82">
        <v>62</v>
      </c>
      <c r="C11" s="117" t="s">
        <v>244</v>
      </c>
      <c r="D11" t="s">
        <v>245</v>
      </c>
      <c r="E11" s="118" t="s">
        <v>70</v>
      </c>
      <c r="F11" s="119">
        <v>2.921296296296296E-4</v>
      </c>
      <c r="G11" s="27">
        <v>2.921296296296296E-4</v>
      </c>
      <c r="H11" s="27">
        <v>3.7384259259259255E-4</v>
      </c>
      <c r="I11" s="27"/>
      <c r="J11" s="27"/>
      <c r="K11" s="27">
        <v>4.1666666666666664E-2</v>
      </c>
    </row>
    <row r="12" spans="1:15" ht="13.2">
      <c r="A12" s="43">
        <v>9</v>
      </c>
      <c r="B12" s="82">
        <v>136</v>
      </c>
      <c r="C12" s="117" t="s">
        <v>173</v>
      </c>
      <c r="D12" t="s">
        <v>174</v>
      </c>
      <c r="E12" s="118" t="s">
        <v>61</v>
      </c>
      <c r="F12" s="119">
        <v>3.1087962962962965E-4</v>
      </c>
      <c r="G12" s="27">
        <v>3.1087962962962965E-4</v>
      </c>
      <c r="H12" s="27">
        <v>3.3657407407407404E-4</v>
      </c>
      <c r="I12" s="27"/>
      <c r="J12" s="27"/>
      <c r="K12" s="27">
        <v>4.1666666666666664E-2</v>
      </c>
    </row>
    <row r="13" spans="1:15" ht="13.2">
      <c r="A13" s="43">
        <v>10</v>
      </c>
      <c r="B13" s="82">
        <v>69</v>
      </c>
      <c r="C13" s="117" t="s">
        <v>246</v>
      </c>
      <c r="D13" t="s">
        <v>147</v>
      </c>
      <c r="E13" s="118" t="s">
        <v>61</v>
      </c>
      <c r="F13" s="119">
        <v>3.1238425925925927E-4</v>
      </c>
      <c r="G13" s="27">
        <v>3.1238425925925927E-4</v>
      </c>
      <c r="H13" s="27"/>
      <c r="I13" s="27"/>
      <c r="J13" s="27"/>
      <c r="K13" s="27">
        <v>4.1666666666666664E-2</v>
      </c>
    </row>
    <row r="14" spans="1:15" ht="13.2">
      <c r="A14" s="43">
        <v>11</v>
      </c>
      <c r="B14" s="82">
        <v>110</v>
      </c>
      <c r="C14" s="117" t="s">
        <v>247</v>
      </c>
      <c r="D14" t="s">
        <v>248</v>
      </c>
      <c r="E14" s="118" t="s">
        <v>70</v>
      </c>
      <c r="F14" s="119">
        <v>3.6168981481481479E-4</v>
      </c>
      <c r="G14" s="27">
        <v>5.265046296296297E-4</v>
      </c>
      <c r="H14" s="27">
        <v>3.6168981481481479E-4</v>
      </c>
      <c r="I14" s="27"/>
      <c r="J14" s="27"/>
      <c r="K14" s="27">
        <v>4.1666666666666664E-2</v>
      </c>
    </row>
    <row r="15" spans="1:15" ht="13.2">
      <c r="A15" s="43">
        <v>12</v>
      </c>
      <c r="B15" s="82">
        <v>173</v>
      </c>
      <c r="C15" s="117" t="s">
        <v>249</v>
      </c>
      <c r="D15" t="s">
        <v>250</v>
      </c>
      <c r="E15" s="118" t="s">
        <v>145</v>
      </c>
      <c r="F15" s="119">
        <v>3.6921296296296295E-4</v>
      </c>
      <c r="G15" s="27">
        <v>3.6921296296296295E-4</v>
      </c>
      <c r="H15" s="27"/>
      <c r="I15" s="27"/>
      <c r="J15" s="27"/>
      <c r="K15" s="27">
        <v>4.1666666666666664E-2</v>
      </c>
    </row>
    <row r="16" spans="1:15" ht="13.2">
      <c r="A16" s="43">
        <v>13</v>
      </c>
      <c r="B16" s="82">
        <v>160</v>
      </c>
      <c r="C16" s="117" t="s">
        <v>169</v>
      </c>
      <c r="D16" t="s">
        <v>170</v>
      </c>
      <c r="E16" s="118" t="s">
        <v>61</v>
      </c>
      <c r="F16" s="119">
        <v>3.7407407407407409E-4</v>
      </c>
      <c r="G16" s="27">
        <v>4.2604166666666669E-4</v>
      </c>
      <c r="H16" s="27">
        <v>3.7407407407407409E-4</v>
      </c>
      <c r="I16" s="27"/>
      <c r="J16" s="27"/>
      <c r="K16" s="27">
        <v>4.1666666666666664E-2</v>
      </c>
    </row>
    <row r="17" spans="1:14" ht="13.2">
      <c r="A17" s="43">
        <v>14</v>
      </c>
      <c r="B17" s="82">
        <v>61</v>
      </c>
      <c r="C17" s="117" t="s">
        <v>251</v>
      </c>
      <c r="D17" t="s">
        <v>129</v>
      </c>
      <c r="E17" s="118" t="s">
        <v>61</v>
      </c>
      <c r="F17" s="119">
        <v>3.7777777777777777E-4</v>
      </c>
      <c r="G17" s="27">
        <v>3.7777777777777777E-4</v>
      </c>
      <c r="H17" s="27">
        <v>5.9259259259259258E-4</v>
      </c>
      <c r="I17" s="27"/>
      <c r="J17" s="27"/>
      <c r="K17" s="27">
        <v>4.1666666666666664E-2</v>
      </c>
    </row>
    <row r="18" spans="1:14" ht="13.8">
      <c r="A18" s="43">
        <v>15</v>
      </c>
      <c r="B18" s="82">
        <v>116</v>
      </c>
      <c r="C18" s="117" t="s">
        <v>177</v>
      </c>
      <c r="D18" t="s">
        <v>178</v>
      </c>
      <c r="E18" s="118" t="s">
        <v>61</v>
      </c>
      <c r="F18" s="119">
        <v>3.7870370370370369E-4</v>
      </c>
      <c r="G18" s="27">
        <v>3.7870370370370369E-4</v>
      </c>
      <c r="H18" s="27"/>
      <c r="I18" s="27"/>
      <c r="J18" s="27"/>
      <c r="K18" s="27">
        <v>4.1666666666666664E-2</v>
      </c>
      <c r="L18" s="122" t="s">
        <v>280</v>
      </c>
      <c r="M18" s="16" t="s">
        <v>104</v>
      </c>
      <c r="N18" s="16" t="s">
        <v>105</v>
      </c>
    </row>
    <row r="19" spans="1:14" ht="13.8">
      <c r="A19" s="43">
        <v>16</v>
      </c>
      <c r="B19" s="82">
        <v>50</v>
      </c>
      <c r="C19" s="117" t="s">
        <v>186</v>
      </c>
      <c r="D19" t="s">
        <v>107</v>
      </c>
      <c r="E19" s="118" t="s">
        <v>61</v>
      </c>
      <c r="F19" s="119">
        <v>3.8472222222222223E-4</v>
      </c>
      <c r="G19" s="27">
        <v>3.8472222222222223E-4</v>
      </c>
      <c r="H19" s="27">
        <v>4.1678240740740738E-4</v>
      </c>
      <c r="I19" s="27"/>
      <c r="J19" s="27"/>
      <c r="K19" s="27">
        <v>4.1666666666666664E-2</v>
      </c>
      <c r="L19" s="122" t="str">
        <f ca="1">IF(L3="Licha","Autonomní medvěd","Čára")</f>
        <v>Autonomní medvěd</v>
      </c>
      <c r="M19" s="16" t="s">
        <v>108</v>
      </c>
      <c r="N19" s="16" t="s">
        <v>105</v>
      </c>
    </row>
    <row r="20" spans="1:14" ht="13.2">
      <c r="A20" s="43">
        <v>17</v>
      </c>
      <c r="B20" s="82">
        <v>106</v>
      </c>
      <c r="C20" s="117" t="s">
        <v>205</v>
      </c>
      <c r="D20" t="s">
        <v>73</v>
      </c>
      <c r="E20" s="118" t="s">
        <v>61</v>
      </c>
      <c r="F20" s="119">
        <v>3.896990740740741E-4</v>
      </c>
      <c r="G20" s="27">
        <v>3.896990740740741E-4</v>
      </c>
      <c r="H20" s="27">
        <v>4.2060185185185191E-4</v>
      </c>
      <c r="I20" s="27"/>
      <c r="J20" s="27"/>
      <c r="K20" s="27">
        <v>4.1666666666666664E-2</v>
      </c>
    </row>
    <row r="21" spans="1:14" ht="13.2">
      <c r="A21" s="43">
        <v>18</v>
      </c>
      <c r="B21" s="82">
        <v>170</v>
      </c>
      <c r="C21" s="117" t="s">
        <v>252</v>
      </c>
      <c r="D21" t="s">
        <v>253</v>
      </c>
      <c r="E21" s="118" t="s">
        <v>145</v>
      </c>
      <c r="F21" s="119">
        <v>3.9305555555555556E-4</v>
      </c>
      <c r="G21" s="27">
        <v>6.0775462962962964E-4</v>
      </c>
      <c r="H21" s="27">
        <v>3.9305555555555556E-4</v>
      </c>
      <c r="I21" s="27"/>
      <c r="J21" s="27"/>
      <c r="K21" s="27">
        <v>4.1666666666666664E-2</v>
      </c>
      <c r="L21" s="45" t="s">
        <v>113</v>
      </c>
    </row>
    <row r="22" spans="1:14" ht="13.2">
      <c r="A22" s="43">
        <v>19</v>
      </c>
      <c r="B22" s="82">
        <v>163</v>
      </c>
      <c r="C22" s="117" t="s">
        <v>254</v>
      </c>
      <c r="D22" t="s">
        <v>250</v>
      </c>
      <c r="E22" s="118" t="s">
        <v>145</v>
      </c>
      <c r="F22" s="119">
        <v>4.2175925925925926E-4</v>
      </c>
      <c r="G22" s="27">
        <v>6.578703703703704E-4</v>
      </c>
      <c r="H22" s="27">
        <v>4.2175925925925926E-4</v>
      </c>
      <c r="I22" s="27"/>
      <c r="J22" s="27"/>
      <c r="K22" s="27">
        <v>4.1666666666666664E-2</v>
      </c>
      <c r="L22" s="16" t="s">
        <v>116</v>
      </c>
    </row>
    <row r="23" spans="1:14" ht="13.2">
      <c r="A23" s="43">
        <v>20</v>
      </c>
      <c r="B23" s="82">
        <v>137</v>
      </c>
      <c r="C23" s="117" t="s">
        <v>255</v>
      </c>
      <c r="D23" t="s">
        <v>219</v>
      </c>
      <c r="E23" s="118" t="s">
        <v>61</v>
      </c>
      <c r="F23" s="119">
        <v>4.2476851851851855E-4</v>
      </c>
      <c r="G23" s="27">
        <v>4.2476851851851855E-4</v>
      </c>
      <c r="H23" s="27">
        <v>5.6736111111111115E-4</v>
      </c>
      <c r="I23" s="27"/>
      <c r="J23" s="27"/>
      <c r="K23" s="27">
        <v>4.1666666666666664E-2</v>
      </c>
      <c r="L23" s="16" t="s">
        <v>118</v>
      </c>
    </row>
    <row r="24" spans="1:14" ht="13.2">
      <c r="A24" s="43">
        <v>21</v>
      </c>
      <c r="B24" s="82">
        <v>133</v>
      </c>
      <c r="C24" s="117" t="s">
        <v>131</v>
      </c>
      <c r="D24" t="s">
        <v>132</v>
      </c>
      <c r="E24" s="118" t="s">
        <v>61</v>
      </c>
      <c r="F24" s="119">
        <v>4.4097222222222226E-4</v>
      </c>
      <c r="G24" s="27">
        <v>4.4097222222222226E-4</v>
      </c>
      <c r="H24" s="27"/>
      <c r="I24" s="27"/>
      <c r="J24" s="27"/>
      <c r="K24" s="27">
        <v>4.1666666666666664E-2</v>
      </c>
      <c r="L24" s="16" t="s">
        <v>121</v>
      </c>
    </row>
    <row r="25" spans="1:14" ht="13.2">
      <c r="A25" s="43">
        <v>22</v>
      </c>
      <c r="B25" s="82">
        <v>24</v>
      </c>
      <c r="C25" s="117" t="s">
        <v>117</v>
      </c>
      <c r="D25" t="s">
        <v>69</v>
      </c>
      <c r="E25" s="118" t="s">
        <v>61</v>
      </c>
      <c r="F25" s="119">
        <v>4.5416666666666668E-4</v>
      </c>
      <c r="G25" s="27">
        <v>4.5416666666666668E-4</v>
      </c>
      <c r="H25" s="27">
        <v>4.6342592592592594E-4</v>
      </c>
      <c r="I25" s="27"/>
      <c r="J25" s="27"/>
      <c r="K25" s="27">
        <v>4.1666666666666664E-2</v>
      </c>
      <c r="L25" s="16" t="s">
        <v>124</v>
      </c>
    </row>
    <row r="26" spans="1:14" ht="13.2">
      <c r="A26" s="43">
        <v>23</v>
      </c>
      <c r="B26" s="82">
        <v>168</v>
      </c>
      <c r="C26" s="117" t="s">
        <v>256</v>
      </c>
      <c r="D26" t="s">
        <v>250</v>
      </c>
      <c r="E26" s="118" t="s">
        <v>145</v>
      </c>
      <c r="F26" s="119">
        <v>4.6874999999999998E-4</v>
      </c>
      <c r="G26" s="27">
        <v>5.7280092592592593E-4</v>
      </c>
      <c r="H26" s="27">
        <v>4.6874999999999998E-4</v>
      </c>
      <c r="I26" s="27"/>
      <c r="J26" s="27"/>
      <c r="K26" s="27">
        <v>4.1666666666666664E-2</v>
      </c>
      <c r="L26" s="161" t="s">
        <v>127</v>
      </c>
    </row>
    <row r="27" spans="1:14" ht="13.2">
      <c r="A27" s="43">
        <v>24</v>
      </c>
      <c r="B27" s="82">
        <v>91</v>
      </c>
      <c r="C27" s="117" t="s">
        <v>136</v>
      </c>
      <c r="D27" t="s">
        <v>137</v>
      </c>
      <c r="E27" s="118" t="s">
        <v>61</v>
      </c>
      <c r="F27" s="119">
        <v>4.9421296296296301E-4</v>
      </c>
      <c r="G27" s="27">
        <v>4.9421296296296301E-4</v>
      </c>
      <c r="H27" s="27"/>
      <c r="I27" s="27"/>
      <c r="J27" s="27"/>
      <c r="K27" s="27">
        <v>4.1666666666666664E-2</v>
      </c>
      <c r="L27" s="161" t="s">
        <v>130</v>
      </c>
    </row>
    <row r="28" spans="1:14" ht="13.2">
      <c r="A28" s="43">
        <v>25</v>
      </c>
      <c r="B28" s="82">
        <v>65</v>
      </c>
      <c r="C28" s="117" t="s">
        <v>257</v>
      </c>
      <c r="D28" t="s">
        <v>258</v>
      </c>
      <c r="E28" s="118" t="s">
        <v>61</v>
      </c>
      <c r="F28" s="119">
        <v>5.8252314814814809E-4</v>
      </c>
      <c r="G28" s="27">
        <v>5.8252314814814809E-4</v>
      </c>
      <c r="H28" s="27"/>
      <c r="I28" s="27"/>
      <c r="J28" s="27"/>
      <c r="K28" s="27">
        <v>4.1666666666666664E-2</v>
      </c>
    </row>
    <row r="29" spans="1:14" ht="13.2">
      <c r="A29" s="43">
        <v>26</v>
      </c>
      <c r="B29" s="82">
        <v>102</v>
      </c>
      <c r="C29" s="117" t="s">
        <v>259</v>
      </c>
      <c r="D29" t="s">
        <v>260</v>
      </c>
      <c r="E29" s="118" t="s">
        <v>61</v>
      </c>
      <c r="F29" s="119">
        <v>7.2523148148148143E-4</v>
      </c>
      <c r="G29" s="27">
        <v>7.2523148148148143E-4</v>
      </c>
      <c r="H29" s="27"/>
      <c r="I29" s="27"/>
      <c r="J29" s="27"/>
      <c r="K29" s="27">
        <v>4.1666666666666664E-2</v>
      </c>
    </row>
    <row r="30" spans="1:14" ht="13.2">
      <c r="A30" s="43">
        <v>27</v>
      </c>
      <c r="B30" s="82">
        <v>157</v>
      </c>
      <c r="C30" s="117" t="s">
        <v>226</v>
      </c>
      <c r="D30" t="s">
        <v>82</v>
      </c>
      <c r="E30" s="118" t="s">
        <v>61</v>
      </c>
      <c r="F30" s="119">
        <v>7.7418981481481479E-4</v>
      </c>
      <c r="G30" s="27">
        <v>7.7418981481481479E-4</v>
      </c>
      <c r="H30" s="27"/>
      <c r="I30" s="27"/>
      <c r="J30" s="27"/>
      <c r="K30" s="27">
        <v>4.1666666666666664E-2</v>
      </c>
    </row>
    <row r="31" spans="1:14" ht="13.2">
      <c r="A31" s="43">
        <v>28</v>
      </c>
      <c r="B31" s="82">
        <v>188</v>
      </c>
      <c r="C31" s="117" t="s">
        <v>154</v>
      </c>
      <c r="D31" t="s">
        <v>155</v>
      </c>
      <c r="E31" s="118" t="s">
        <v>70</v>
      </c>
      <c r="F31" s="119">
        <v>9.5983796296296301E-4</v>
      </c>
      <c r="G31" s="27">
        <v>9.5983796296296301E-4</v>
      </c>
      <c r="H31" s="27"/>
      <c r="I31" s="27"/>
      <c r="J31" s="27"/>
      <c r="K31" s="27">
        <v>4.1666666666666664E-2</v>
      </c>
    </row>
    <row r="32" spans="1:14" ht="13.2">
      <c r="A32" s="43">
        <v>29</v>
      </c>
      <c r="B32" s="82">
        <v>141</v>
      </c>
      <c r="C32" s="117" t="s">
        <v>261</v>
      </c>
      <c r="D32" t="s">
        <v>262</v>
      </c>
      <c r="E32" s="118" t="s">
        <v>70</v>
      </c>
      <c r="F32" s="119">
        <v>9.6331018518518521E-4</v>
      </c>
      <c r="G32" s="27">
        <v>9.6331018518518521E-4</v>
      </c>
      <c r="H32" s="27"/>
      <c r="I32" s="27"/>
      <c r="J32" s="27"/>
      <c r="K32" s="27">
        <v>4.1666666666666664E-2</v>
      </c>
    </row>
    <row r="33" spans="1:11" ht="13.2">
      <c r="A33" s="43">
        <v>30</v>
      </c>
      <c r="B33" s="82">
        <v>39</v>
      </c>
      <c r="C33" s="117" t="s">
        <v>184</v>
      </c>
      <c r="D33" t="s">
        <v>157</v>
      </c>
      <c r="E33" s="118" t="s">
        <v>61</v>
      </c>
      <c r="F33" s="119">
        <v>1.0834490740740741E-3</v>
      </c>
      <c r="G33" s="27">
        <v>1.0834490740740741E-3</v>
      </c>
      <c r="H33" s="27"/>
      <c r="I33" s="27"/>
      <c r="J33" s="27"/>
      <c r="K33" s="27">
        <v>4.1666666666666664E-2</v>
      </c>
    </row>
    <row r="34" spans="1:11" ht="13.2">
      <c r="A34" s="43">
        <v>31</v>
      </c>
      <c r="B34" s="82">
        <v>142</v>
      </c>
      <c r="C34" s="117" t="s">
        <v>85</v>
      </c>
      <c r="D34" t="s">
        <v>86</v>
      </c>
      <c r="E34" s="118" t="s">
        <v>70</v>
      </c>
      <c r="F34" s="119">
        <v>1.1717592592592593E-3</v>
      </c>
      <c r="G34" s="27">
        <v>1.1717592592592593E-3</v>
      </c>
      <c r="H34" s="27"/>
      <c r="I34" s="27"/>
      <c r="J34" s="27"/>
      <c r="K34" s="27">
        <v>4.1666666666666664E-2</v>
      </c>
    </row>
    <row r="35" spans="1:11" ht="13.2">
      <c r="A35" s="43">
        <v>32</v>
      </c>
      <c r="B35" s="82">
        <v>32</v>
      </c>
      <c r="C35" s="117" t="s">
        <v>264</v>
      </c>
      <c r="D35" t="s">
        <v>265</v>
      </c>
      <c r="E35" s="118" t="s">
        <v>61</v>
      </c>
      <c r="F35" s="119">
        <v>4.1666666666666664E-2</v>
      </c>
      <c r="G35" s="27"/>
      <c r="H35" s="27"/>
      <c r="I35" s="27"/>
      <c r="J35" s="27"/>
      <c r="K35" s="27">
        <v>4.1666666666666664E-2</v>
      </c>
    </row>
    <row r="36" spans="1:11" ht="13.2">
      <c r="A36" s="43">
        <v>33</v>
      </c>
      <c r="B36" s="82">
        <v>40</v>
      </c>
      <c r="C36" s="117" t="s">
        <v>266</v>
      </c>
      <c r="D36" t="s">
        <v>157</v>
      </c>
      <c r="E36" s="118" t="s">
        <v>61</v>
      </c>
      <c r="F36" s="119">
        <v>4.1666666666666664E-2</v>
      </c>
      <c r="G36" s="27"/>
      <c r="H36" s="27"/>
      <c r="I36" s="27"/>
      <c r="J36" s="27"/>
      <c r="K36" s="27">
        <v>4.1666666666666664E-2</v>
      </c>
    </row>
    <row r="37" spans="1:11" ht="13.2">
      <c r="A37" s="43">
        <v>34</v>
      </c>
      <c r="B37" s="82">
        <v>51</v>
      </c>
      <c r="C37" s="117" t="s">
        <v>106</v>
      </c>
      <c r="D37" t="s">
        <v>107</v>
      </c>
      <c r="E37" s="118" t="s">
        <v>61</v>
      </c>
      <c r="F37" s="119">
        <v>4.1666666666666664E-2</v>
      </c>
      <c r="G37" s="27"/>
      <c r="H37" s="27"/>
      <c r="I37" s="27"/>
      <c r="J37" s="27"/>
      <c r="K37" s="27">
        <v>4.1666666666666664E-2</v>
      </c>
    </row>
    <row r="38" spans="1:11" ht="13.2">
      <c r="A38" s="43">
        <v>35</v>
      </c>
      <c r="B38" s="82">
        <v>75</v>
      </c>
      <c r="C38" s="117" t="s">
        <v>194</v>
      </c>
      <c r="D38" t="s">
        <v>94</v>
      </c>
      <c r="E38" s="118" t="s">
        <v>61</v>
      </c>
      <c r="F38" s="119">
        <v>4.1666666666666664E-2</v>
      </c>
      <c r="G38" s="27"/>
      <c r="H38" s="27"/>
      <c r="I38" s="27"/>
      <c r="J38" s="27"/>
      <c r="K38" s="27">
        <v>4.1666666666666664E-2</v>
      </c>
    </row>
    <row r="39" spans="1:11" ht="13.2">
      <c r="A39" s="43">
        <v>36</v>
      </c>
      <c r="B39" s="82">
        <v>76</v>
      </c>
      <c r="C39" s="117" t="s">
        <v>93</v>
      </c>
      <c r="D39" t="s">
        <v>94</v>
      </c>
      <c r="E39" s="118" t="s">
        <v>61</v>
      </c>
      <c r="F39" s="119">
        <v>4.1666666666666664E-2</v>
      </c>
      <c r="G39" s="27"/>
      <c r="H39" s="27"/>
      <c r="I39" s="27"/>
      <c r="J39" s="27"/>
      <c r="K39" s="27">
        <v>4.1666666666666664E-2</v>
      </c>
    </row>
    <row r="40" spans="1:11" ht="13.2">
      <c r="A40" s="43">
        <v>37</v>
      </c>
      <c r="B40" s="82">
        <v>77</v>
      </c>
      <c r="C40" s="117" t="s">
        <v>267</v>
      </c>
      <c r="D40" t="s">
        <v>94</v>
      </c>
      <c r="E40" s="118" t="s">
        <v>70</v>
      </c>
      <c r="F40" s="119">
        <v>4.1666666666666664E-2</v>
      </c>
      <c r="G40" s="27"/>
      <c r="H40" s="27"/>
      <c r="I40" s="27"/>
      <c r="J40" s="27"/>
      <c r="K40" s="27">
        <v>4.1666666666666664E-2</v>
      </c>
    </row>
    <row r="41" spans="1:11" ht="13.2">
      <c r="A41" s="43">
        <v>38</v>
      </c>
      <c r="B41" s="82">
        <v>78</v>
      </c>
      <c r="C41" s="117" t="s">
        <v>268</v>
      </c>
      <c r="D41" t="s">
        <v>94</v>
      </c>
      <c r="E41" s="118" t="s">
        <v>70</v>
      </c>
      <c r="F41" s="119">
        <v>4.1666666666666664E-2</v>
      </c>
      <c r="G41" s="27"/>
      <c r="H41" s="27"/>
      <c r="I41" s="27"/>
      <c r="J41" s="27"/>
      <c r="K41" s="27">
        <v>4.1666666666666664E-2</v>
      </c>
    </row>
    <row r="42" spans="1:11" ht="13.2">
      <c r="A42" s="43">
        <v>39</v>
      </c>
      <c r="B42" s="82">
        <v>135</v>
      </c>
      <c r="C42" s="117" t="s">
        <v>216</v>
      </c>
      <c r="D42" t="s">
        <v>217</v>
      </c>
      <c r="E42" s="118" t="s">
        <v>61</v>
      </c>
      <c r="F42" s="119">
        <v>4.1666666666666664E-2</v>
      </c>
      <c r="G42" s="27"/>
      <c r="H42" s="27"/>
      <c r="I42" s="27"/>
      <c r="J42" s="27"/>
      <c r="K42" s="27">
        <v>4.1666666666666664E-2</v>
      </c>
    </row>
    <row r="43" spans="1:11" ht="13.2">
      <c r="A43" s="43">
        <v>40</v>
      </c>
      <c r="B43" s="82">
        <v>139</v>
      </c>
      <c r="C43" s="117" t="s">
        <v>269</v>
      </c>
      <c r="D43" t="s">
        <v>219</v>
      </c>
      <c r="E43" s="118" t="s">
        <v>61</v>
      </c>
      <c r="F43" s="119">
        <v>4.1666666666666664E-2</v>
      </c>
      <c r="G43" s="27"/>
      <c r="H43" s="27"/>
      <c r="I43" s="27"/>
      <c r="J43" s="27"/>
      <c r="K43" s="27">
        <v>4.1666666666666664E-2</v>
      </c>
    </row>
    <row r="44" spans="1:11" ht="13.2">
      <c r="A44" s="43">
        <v>41</v>
      </c>
      <c r="B44" s="82">
        <v>144</v>
      </c>
      <c r="C44" s="117" t="s">
        <v>222</v>
      </c>
      <c r="D44" t="s">
        <v>223</v>
      </c>
      <c r="E44" s="118" t="s">
        <v>70</v>
      </c>
      <c r="F44" s="119">
        <v>4.1666666666666664E-2</v>
      </c>
      <c r="G44" s="27"/>
      <c r="H44" s="27"/>
      <c r="I44" s="27"/>
      <c r="J44" s="27"/>
      <c r="K44" s="27">
        <v>4.1666666666666664E-2</v>
      </c>
    </row>
    <row r="45" spans="1:11" ht="13.2">
      <c r="A45" s="43">
        <v>42</v>
      </c>
      <c r="B45" s="82">
        <v>145</v>
      </c>
      <c r="C45" s="117" t="s">
        <v>96</v>
      </c>
      <c r="D45" t="s">
        <v>97</v>
      </c>
      <c r="E45" s="118" t="s">
        <v>70</v>
      </c>
      <c r="F45" s="119">
        <v>4.1666666666666664E-2</v>
      </c>
      <c r="G45" s="27" t="s">
        <v>23</v>
      </c>
      <c r="H45" s="27"/>
      <c r="I45" s="27"/>
      <c r="J45" s="27"/>
      <c r="K45" s="27">
        <v>4.1666666666666664E-2</v>
      </c>
    </row>
    <row r="46" spans="1:11" ht="13.2">
      <c r="A46" s="43">
        <v>43</v>
      </c>
      <c r="B46" s="82">
        <v>146</v>
      </c>
      <c r="C46" s="117" t="s">
        <v>270</v>
      </c>
      <c r="D46" t="s">
        <v>271</v>
      </c>
      <c r="E46" s="118" t="s">
        <v>61</v>
      </c>
      <c r="F46" s="119">
        <v>4.1666666666666664E-2</v>
      </c>
      <c r="G46" s="27"/>
      <c r="H46" s="27"/>
      <c r="I46" s="27"/>
      <c r="J46" s="27"/>
      <c r="K46" s="27">
        <v>4.1666666666666664E-2</v>
      </c>
    </row>
    <row r="47" spans="1:11" ht="13.2">
      <c r="A47" s="43">
        <v>44</v>
      </c>
      <c r="B47" s="82">
        <v>154</v>
      </c>
      <c r="C47" s="117" t="s">
        <v>272</v>
      </c>
      <c r="D47" t="s">
        <v>273</v>
      </c>
      <c r="E47" s="118" t="s">
        <v>61</v>
      </c>
      <c r="F47" s="119">
        <v>4.1666666666666664E-2</v>
      </c>
      <c r="G47" s="27"/>
      <c r="H47" s="27"/>
      <c r="I47" s="27"/>
      <c r="J47" s="27"/>
      <c r="K47" s="27">
        <v>4.1666666666666664E-2</v>
      </c>
    </row>
    <row r="48" spans="1:11" ht="13.2">
      <c r="A48" s="43">
        <v>45</v>
      </c>
      <c r="B48" s="82">
        <v>155</v>
      </c>
      <c r="C48" s="117" t="s">
        <v>274</v>
      </c>
      <c r="D48" t="s">
        <v>273</v>
      </c>
      <c r="E48" s="118" t="s">
        <v>61</v>
      </c>
      <c r="F48" s="119">
        <v>4.1666666666666664E-2</v>
      </c>
      <c r="G48" s="27"/>
      <c r="H48" s="27"/>
      <c r="I48" s="27"/>
      <c r="J48" s="27"/>
      <c r="K48" s="27">
        <v>4.1666666666666664E-2</v>
      </c>
    </row>
    <row r="49" spans="1:11" ht="13.2">
      <c r="A49" s="43">
        <v>46</v>
      </c>
      <c r="B49" s="82">
        <v>158</v>
      </c>
      <c r="C49" s="117" t="s">
        <v>81</v>
      </c>
      <c r="D49" t="s">
        <v>82</v>
      </c>
      <c r="E49" s="118" t="s">
        <v>61</v>
      </c>
      <c r="F49" s="119">
        <v>4.1666666666666664E-2</v>
      </c>
      <c r="G49" s="27"/>
      <c r="H49" s="27"/>
      <c r="I49" s="27"/>
      <c r="J49" s="27"/>
      <c r="K49" s="27">
        <v>4.1666666666666664E-2</v>
      </c>
    </row>
    <row r="50" spans="1:11" ht="13.2">
      <c r="A50" s="43">
        <v>47</v>
      </c>
      <c r="B50" s="82">
        <v>161</v>
      </c>
      <c r="C50" s="117" t="s">
        <v>227</v>
      </c>
      <c r="D50" t="s">
        <v>228</v>
      </c>
      <c r="E50" s="118" t="s">
        <v>61</v>
      </c>
      <c r="F50" s="119">
        <v>4.1666666666666664E-2</v>
      </c>
      <c r="G50" s="27"/>
      <c r="H50" s="27"/>
      <c r="I50" s="27"/>
      <c r="J50" s="27"/>
      <c r="K50" s="27">
        <v>4.1666666666666664E-2</v>
      </c>
    </row>
    <row r="51" spans="1:11" ht="13.2">
      <c r="A51" s="43">
        <v>48</v>
      </c>
      <c r="B51" s="82">
        <v>164</v>
      </c>
      <c r="C51" s="117" t="s">
        <v>275</v>
      </c>
      <c r="D51" t="s">
        <v>250</v>
      </c>
      <c r="E51" s="118" t="s">
        <v>145</v>
      </c>
      <c r="F51" s="119">
        <v>4.1666666666666664E-2</v>
      </c>
      <c r="G51" s="27"/>
      <c r="H51" s="27"/>
      <c r="I51" s="27"/>
      <c r="J51" s="27"/>
      <c r="K51" s="27">
        <v>4.1666666666666664E-2</v>
      </c>
    </row>
    <row r="52" spans="1:11" ht="13.2">
      <c r="A52" s="43">
        <v>49</v>
      </c>
      <c r="B52" s="82">
        <v>165</v>
      </c>
      <c r="C52" s="117" t="s">
        <v>276</v>
      </c>
      <c r="D52" t="s">
        <v>277</v>
      </c>
      <c r="E52" s="118" t="s">
        <v>145</v>
      </c>
      <c r="F52" s="119">
        <v>4.1666666666666664E-2</v>
      </c>
      <c r="G52" s="27"/>
      <c r="H52" s="27"/>
      <c r="I52" s="27"/>
      <c r="J52" s="27"/>
      <c r="K52" s="27">
        <v>4.1666666666666664E-2</v>
      </c>
    </row>
    <row r="53" spans="1:11" ht="13.2">
      <c r="A53" s="43">
        <v>50</v>
      </c>
      <c r="B53" s="82">
        <v>166</v>
      </c>
      <c r="C53" s="117" t="s">
        <v>278</v>
      </c>
      <c r="D53" t="s">
        <v>253</v>
      </c>
      <c r="E53" s="118" t="s">
        <v>54</v>
      </c>
      <c r="F53" s="119">
        <v>4.1666666666666664E-2</v>
      </c>
      <c r="G53" s="27"/>
      <c r="H53" s="27"/>
      <c r="I53" s="27"/>
      <c r="J53" s="27"/>
      <c r="K53" s="27">
        <v>4.1666666666666664E-2</v>
      </c>
    </row>
    <row r="54" spans="1:11" ht="13.2">
      <c r="A54" s="43">
        <v>51</v>
      </c>
      <c r="B54" s="82">
        <v>169</v>
      </c>
      <c r="C54" s="117" t="s">
        <v>279</v>
      </c>
      <c r="D54" t="s">
        <v>277</v>
      </c>
      <c r="E54" s="118" t="s">
        <v>145</v>
      </c>
      <c r="F54" s="119">
        <v>4.1666666666666664E-2</v>
      </c>
      <c r="G54" s="27"/>
      <c r="H54" s="27"/>
      <c r="I54" s="27"/>
      <c r="J54" s="27"/>
      <c r="K54" s="27">
        <v>4.1666666666666664E-2</v>
      </c>
    </row>
    <row r="55" spans="1:11" ht="13.2">
      <c r="A55" s="43">
        <v>52</v>
      </c>
      <c r="B55" s="82"/>
      <c r="C55" s="117"/>
      <c r="E55" s="118"/>
      <c r="F55" s="119">
        <v>4.1666666666666664E-2</v>
      </c>
      <c r="G55" s="27"/>
      <c r="H55" s="27"/>
      <c r="I55" s="27"/>
      <c r="J55" s="27"/>
      <c r="K55" s="27">
        <v>4.1666666666666664E-2</v>
      </c>
    </row>
    <row r="56" spans="1:11" ht="13.2">
      <c r="A56" s="43">
        <v>53</v>
      </c>
      <c r="B56" s="82"/>
      <c r="C56" s="117"/>
      <c r="E56" s="118"/>
      <c r="F56" s="119">
        <v>4.1666666666666664E-2</v>
      </c>
      <c r="G56" s="27"/>
      <c r="H56" s="27"/>
      <c r="I56" s="27"/>
      <c r="J56" s="27"/>
      <c r="K56" s="27">
        <v>4.1666666666666664E-2</v>
      </c>
    </row>
    <row r="57" spans="1:11" ht="13.2">
      <c r="A57" s="43">
        <v>54</v>
      </c>
      <c r="B57" s="82"/>
      <c r="C57" s="117"/>
      <c r="E57" s="118"/>
      <c r="F57" s="119">
        <v>4.1666666666666664E-2</v>
      </c>
      <c r="G57" s="27"/>
      <c r="H57" s="27"/>
      <c r="I57" s="27"/>
      <c r="J57" s="27"/>
      <c r="K57" s="27">
        <v>4.1666666666666664E-2</v>
      </c>
    </row>
    <row r="58" spans="1:11" ht="13.2">
      <c r="A58" s="43">
        <v>55</v>
      </c>
      <c r="B58" s="82"/>
      <c r="C58" s="117"/>
      <c r="E58" s="118"/>
      <c r="F58" s="119">
        <v>4.1666666666666664E-2</v>
      </c>
      <c r="G58" s="27"/>
      <c r="H58" s="27"/>
      <c r="I58" s="27"/>
      <c r="J58" s="27"/>
      <c r="K58" s="27">
        <v>4.1666666666666664E-2</v>
      </c>
    </row>
    <row r="59" spans="1:11" ht="13.2">
      <c r="A59" s="43">
        <v>56</v>
      </c>
      <c r="B59" s="82"/>
      <c r="C59" s="117"/>
      <c r="E59" s="118"/>
      <c r="F59" s="119">
        <v>4.1666666666666664E-2</v>
      </c>
      <c r="G59" s="27"/>
      <c r="H59" s="27"/>
      <c r="I59" s="27"/>
      <c r="J59" s="27"/>
      <c r="K59" s="27">
        <v>4.1666666666666664E-2</v>
      </c>
    </row>
    <row r="60" spans="1:11" ht="13.2">
      <c r="A60" s="43">
        <v>57</v>
      </c>
      <c r="B60" s="82"/>
      <c r="C60" s="117"/>
      <c r="E60" s="118"/>
      <c r="F60" s="119">
        <v>4.1666666666666664E-2</v>
      </c>
      <c r="G60" s="27"/>
      <c r="H60" s="27"/>
      <c r="I60" s="27"/>
      <c r="J60" s="27"/>
      <c r="K60" s="27">
        <v>4.1666666666666664E-2</v>
      </c>
    </row>
    <row r="61" spans="1:11" ht="13.2">
      <c r="A61" s="43">
        <v>58</v>
      </c>
      <c r="B61" s="82"/>
      <c r="C61" s="117"/>
      <c r="E61" s="118"/>
      <c r="F61" s="119">
        <v>4.1666666666666664E-2</v>
      </c>
      <c r="G61" s="27"/>
      <c r="H61" s="27"/>
      <c r="I61" s="27"/>
      <c r="J61" s="27"/>
      <c r="K61" s="27">
        <v>4.1666666666666664E-2</v>
      </c>
    </row>
    <row r="62" spans="1:11" ht="13.2">
      <c r="A62" s="43">
        <v>59</v>
      </c>
      <c r="B62" s="82"/>
      <c r="C62" s="117"/>
      <c r="E62" s="118"/>
      <c r="F62" s="119">
        <v>4.1666666666666664E-2</v>
      </c>
      <c r="G62" s="27"/>
      <c r="H62" s="27"/>
      <c r="I62" s="27"/>
      <c r="J62" s="27"/>
      <c r="K62" s="27">
        <v>4.1666666666666664E-2</v>
      </c>
    </row>
    <row r="63" spans="1:11" ht="13.2">
      <c r="A63" s="43">
        <v>60</v>
      </c>
      <c r="B63" s="82"/>
      <c r="C63" s="117"/>
      <c r="E63" s="118"/>
      <c r="F63" s="127"/>
      <c r="G63" s="27"/>
      <c r="H63" s="27"/>
      <c r="I63" s="27"/>
      <c r="J63" s="27"/>
      <c r="K63" s="30"/>
    </row>
    <row r="64" spans="1:11" ht="13.2">
      <c r="A64" s="43">
        <v>61</v>
      </c>
      <c r="B64" s="82"/>
      <c r="C64" s="117"/>
      <c r="E64" s="118"/>
      <c r="F64" s="127"/>
      <c r="G64" s="27"/>
      <c r="H64" s="27"/>
      <c r="I64" s="27"/>
      <c r="J64" s="27"/>
      <c r="K64" s="30"/>
    </row>
    <row r="65" spans="1:11" ht="13.2">
      <c r="A65" s="43">
        <v>62</v>
      </c>
      <c r="B65" s="82"/>
      <c r="C65" s="117"/>
      <c r="E65" s="118"/>
      <c r="F65" s="127"/>
      <c r="G65" s="27"/>
      <c r="H65" s="27"/>
      <c r="I65" s="27"/>
      <c r="J65" s="27"/>
      <c r="K65" s="30"/>
    </row>
    <row r="66" spans="1:11" ht="13.2">
      <c r="A66" s="43">
        <v>63</v>
      </c>
      <c r="B66" s="82"/>
      <c r="C66" s="117"/>
      <c r="E66" s="118"/>
      <c r="F66" s="127"/>
      <c r="G66" s="27"/>
      <c r="H66" s="27"/>
      <c r="I66" s="27"/>
      <c r="J66" s="27"/>
      <c r="K66" s="30"/>
    </row>
    <row r="67" spans="1:11" ht="13.2">
      <c r="A67" s="43">
        <v>64</v>
      </c>
      <c r="B67" s="82"/>
      <c r="C67" s="117"/>
      <c r="E67" s="118"/>
      <c r="F67" s="127"/>
      <c r="G67" s="27"/>
      <c r="H67" s="27"/>
      <c r="I67" s="27"/>
      <c r="J67" s="27"/>
      <c r="K67" s="30"/>
    </row>
    <row r="68" spans="1:11" ht="13.2">
      <c r="A68" s="43">
        <v>65</v>
      </c>
      <c r="B68" s="82"/>
      <c r="C68" s="117"/>
      <c r="E68" s="118"/>
      <c r="F68" s="127"/>
      <c r="G68" s="27"/>
      <c r="H68" s="27"/>
      <c r="I68" s="27"/>
      <c r="J68" s="27"/>
      <c r="K68" s="30"/>
    </row>
    <row r="69" spans="1:11" ht="13.2">
      <c r="A69" s="43">
        <v>66</v>
      </c>
      <c r="B69" s="82"/>
      <c r="C69" s="117"/>
      <c r="E69" s="118"/>
      <c r="F69" s="127"/>
      <c r="G69" s="27"/>
      <c r="H69" s="27"/>
      <c r="I69" s="27"/>
      <c r="J69" s="27"/>
      <c r="K69" s="30"/>
    </row>
    <row r="70" spans="1:11" ht="13.2">
      <c r="A70" s="43">
        <v>67</v>
      </c>
      <c r="B70" s="82"/>
      <c r="C70" s="117"/>
      <c r="E70" s="118"/>
      <c r="F70" s="127"/>
      <c r="G70" s="27"/>
      <c r="H70" s="27"/>
      <c r="I70" s="27"/>
      <c r="J70" s="27"/>
      <c r="K70" s="30"/>
    </row>
    <row r="71" spans="1:11" ht="13.2">
      <c r="A71" s="43">
        <v>68</v>
      </c>
      <c r="B71" s="82"/>
      <c r="C71" s="117"/>
      <c r="E71" s="118"/>
      <c r="F71" s="127"/>
      <c r="G71" s="27"/>
      <c r="H71" s="27"/>
      <c r="I71" s="27"/>
      <c r="J71" s="27"/>
      <c r="K71" s="30"/>
    </row>
    <row r="72" spans="1:11" ht="13.2">
      <c r="A72" s="43">
        <v>69</v>
      </c>
      <c r="B72" s="82"/>
      <c r="C72" s="117"/>
      <c r="E72" s="118"/>
      <c r="F72" s="127"/>
      <c r="G72" s="27"/>
      <c r="H72" s="27"/>
      <c r="I72" s="27"/>
      <c r="J72" s="27"/>
      <c r="K72" s="30"/>
    </row>
    <row r="73" spans="1:11" ht="13.2">
      <c r="A73" s="43">
        <v>70</v>
      </c>
      <c r="B73" s="82"/>
      <c r="C73" s="117"/>
      <c r="E73" s="118"/>
      <c r="F73" s="127"/>
      <c r="G73" s="27"/>
      <c r="H73" s="27"/>
      <c r="I73" s="27"/>
      <c r="J73" s="27"/>
      <c r="K73" s="30"/>
    </row>
    <row r="74" spans="1:11" ht="13.2">
      <c r="A74" s="43">
        <v>71</v>
      </c>
      <c r="B74" s="82"/>
      <c r="C74" s="117"/>
      <c r="E74" s="118"/>
      <c r="F74" s="127"/>
      <c r="G74" s="27"/>
      <c r="H74" s="27"/>
      <c r="I74" s="27"/>
      <c r="J74" s="27"/>
      <c r="K74" s="30"/>
    </row>
    <row r="75" spans="1:11" ht="13.2">
      <c r="A75" s="43">
        <v>72</v>
      </c>
      <c r="B75" s="82"/>
      <c r="C75" s="117"/>
      <c r="E75" s="118"/>
      <c r="F75" s="127"/>
      <c r="G75" s="27"/>
      <c r="H75" s="27"/>
      <c r="I75" s="27"/>
      <c r="J75" s="27"/>
      <c r="K75" s="30"/>
    </row>
    <row r="76" spans="1:11" ht="13.2">
      <c r="A76" s="43">
        <v>73</v>
      </c>
      <c r="B76" s="82"/>
      <c r="C76" s="117"/>
      <c r="E76" s="118"/>
      <c r="F76" s="127"/>
      <c r="G76" s="27"/>
      <c r="H76" s="27"/>
      <c r="I76" s="27"/>
      <c r="J76" s="27"/>
      <c r="K76" s="30"/>
    </row>
    <row r="77" spans="1:11" ht="13.2">
      <c r="A77" s="43">
        <v>74</v>
      </c>
      <c r="B77" s="82"/>
      <c r="C77" s="117"/>
      <c r="E77" s="118"/>
      <c r="F77" s="127"/>
      <c r="G77" s="27"/>
      <c r="H77" s="27"/>
      <c r="I77" s="27"/>
      <c r="J77" s="27"/>
      <c r="K77" s="30"/>
    </row>
    <row r="78" spans="1:11" ht="13.2">
      <c r="A78" s="43">
        <v>75</v>
      </c>
      <c r="B78" s="82"/>
      <c r="C78" s="117"/>
      <c r="E78" s="118"/>
      <c r="F78" s="127"/>
      <c r="G78" s="27"/>
      <c r="H78" s="27"/>
      <c r="I78" s="27"/>
      <c r="J78" s="27"/>
      <c r="K78" s="30"/>
    </row>
    <row r="79" spans="1:11" ht="13.2">
      <c r="A79" s="43">
        <v>76</v>
      </c>
      <c r="B79" s="82"/>
      <c r="C79" s="117"/>
      <c r="E79" s="118"/>
      <c r="F79" s="127"/>
      <c r="G79" s="27"/>
      <c r="H79" s="27"/>
      <c r="I79" s="27"/>
      <c r="J79" s="27"/>
      <c r="K79" s="30"/>
    </row>
    <row r="80" spans="1:11" ht="13.2">
      <c r="A80" s="43">
        <v>77</v>
      </c>
      <c r="B80" s="82"/>
      <c r="C80" s="117"/>
      <c r="E80" s="118"/>
      <c r="F80" s="127"/>
      <c r="G80" s="27"/>
      <c r="H80" s="27"/>
      <c r="I80" s="27"/>
      <c r="J80" s="27"/>
      <c r="K80" s="30"/>
    </row>
    <row r="81" spans="1:11" ht="13.2">
      <c r="A81" s="43">
        <v>78</v>
      </c>
      <c r="B81" s="82"/>
      <c r="C81" s="117"/>
      <c r="E81" s="118"/>
      <c r="F81" s="127"/>
      <c r="G81" s="27"/>
      <c r="H81" s="27"/>
      <c r="I81" s="27"/>
      <c r="J81" s="27"/>
      <c r="K81" s="30"/>
    </row>
    <row r="82" spans="1:11" ht="13.2">
      <c r="A82" s="43">
        <v>79</v>
      </c>
      <c r="B82" s="82"/>
      <c r="C82" s="117"/>
      <c r="E82" s="118"/>
      <c r="F82" s="127"/>
      <c r="G82" s="27"/>
      <c r="H82" s="27"/>
      <c r="I82" s="27"/>
      <c r="J82" s="27"/>
      <c r="K82" s="30"/>
    </row>
    <row r="83" spans="1:11" ht="13.2">
      <c r="A83" s="43">
        <v>80</v>
      </c>
      <c r="B83" s="82"/>
      <c r="C83" s="117"/>
      <c r="E83" s="118"/>
      <c r="F83" s="127"/>
      <c r="G83" s="27"/>
      <c r="H83" s="27"/>
      <c r="I83" s="27"/>
      <c r="J83" s="27"/>
      <c r="K83" s="30"/>
    </row>
    <row r="84" spans="1:11" ht="13.2">
      <c r="A84" s="43">
        <v>81</v>
      </c>
      <c r="B84" s="82"/>
      <c r="C84" s="117"/>
      <c r="E84" s="118"/>
      <c r="F84" s="127"/>
      <c r="G84" s="27"/>
      <c r="H84" s="27"/>
      <c r="I84" s="27"/>
      <c r="J84" s="27"/>
      <c r="K84" s="30"/>
    </row>
    <row r="85" spans="1:11" ht="13.2">
      <c r="A85" s="43">
        <v>82</v>
      </c>
      <c r="B85" s="82"/>
      <c r="C85" s="117"/>
      <c r="E85" s="118"/>
      <c r="F85" s="127"/>
      <c r="G85" s="27"/>
      <c r="H85" s="27"/>
      <c r="I85" s="27"/>
      <c r="J85" s="27"/>
      <c r="K85" s="30"/>
    </row>
    <row r="86" spans="1:11" ht="13.2">
      <c r="A86" s="43">
        <v>83</v>
      </c>
      <c r="B86" s="82"/>
      <c r="C86" s="117"/>
      <c r="E86" s="118"/>
      <c r="F86" s="127"/>
      <c r="G86" s="27"/>
      <c r="H86" s="27"/>
      <c r="I86" s="27"/>
      <c r="J86" s="27"/>
      <c r="K86" s="30"/>
    </row>
    <row r="87" spans="1:11" ht="13.2">
      <c r="A87" s="43">
        <v>84</v>
      </c>
      <c r="B87" s="82"/>
      <c r="C87" s="117"/>
      <c r="E87" s="118"/>
      <c r="F87" s="127"/>
      <c r="G87" s="27"/>
      <c r="H87" s="27"/>
      <c r="I87" s="27"/>
      <c r="J87" s="27"/>
      <c r="K87" s="30"/>
    </row>
    <row r="88" spans="1:11" ht="13.2">
      <c r="A88" s="43">
        <v>85</v>
      </c>
      <c r="B88" s="82"/>
      <c r="C88" s="117"/>
      <c r="E88" s="118"/>
      <c r="F88" s="127"/>
      <c r="G88" s="27"/>
      <c r="H88" s="27"/>
      <c r="I88" s="27"/>
      <c r="J88" s="27"/>
      <c r="K88" s="30"/>
    </row>
    <row r="89" spans="1:11" ht="13.2">
      <c r="A89" s="43">
        <v>86</v>
      </c>
      <c r="B89" s="82"/>
      <c r="C89" s="117"/>
      <c r="E89" s="118"/>
      <c r="F89" s="127"/>
      <c r="G89" s="27"/>
      <c r="H89" s="27"/>
      <c r="I89" s="27"/>
      <c r="J89" s="27"/>
      <c r="K89" s="30"/>
    </row>
    <row r="90" spans="1:11" ht="13.2">
      <c r="A90" s="43">
        <v>87</v>
      </c>
      <c r="B90" s="82"/>
      <c r="C90" s="117"/>
      <c r="E90" s="118"/>
      <c r="F90" s="127"/>
      <c r="G90" s="27"/>
      <c r="H90" s="27"/>
      <c r="I90" s="27"/>
      <c r="J90" s="27"/>
      <c r="K90" s="30"/>
    </row>
    <row r="91" spans="1:11" ht="13.2">
      <c r="A91" s="43">
        <v>88</v>
      </c>
      <c r="B91" s="82"/>
      <c r="C91" s="117"/>
      <c r="E91" s="118"/>
      <c r="F91" s="127"/>
      <c r="G91" s="27"/>
      <c r="H91" s="27"/>
      <c r="I91" s="27"/>
      <c r="J91" s="27"/>
      <c r="K91" s="30"/>
    </row>
    <row r="92" spans="1:11" ht="13.2">
      <c r="A92" s="43">
        <v>89</v>
      </c>
      <c r="B92" s="82"/>
      <c r="C92" s="117"/>
      <c r="E92" s="118"/>
      <c r="F92" s="127"/>
      <c r="G92" s="27"/>
      <c r="H92" s="27"/>
      <c r="I92" s="27"/>
      <c r="J92" s="27"/>
      <c r="K92" s="30"/>
    </row>
    <row r="93" spans="1:11" ht="13.2">
      <c r="A93" s="43">
        <v>90</v>
      </c>
      <c r="B93" s="82"/>
      <c r="C93" s="117"/>
      <c r="E93" s="118"/>
      <c r="F93" s="127"/>
      <c r="G93" s="27"/>
      <c r="H93" s="27"/>
      <c r="I93" s="27"/>
      <c r="J93" s="27"/>
      <c r="K93" s="30"/>
    </row>
    <row r="94" spans="1:11" ht="13.2">
      <c r="A94" s="43">
        <v>91</v>
      </c>
      <c r="B94" s="82"/>
      <c r="C94" s="117"/>
      <c r="E94" s="118"/>
      <c r="F94" s="127"/>
      <c r="G94" s="27"/>
      <c r="H94" s="27"/>
      <c r="I94" s="27"/>
      <c r="J94" s="27"/>
      <c r="K94" s="30"/>
    </row>
    <row r="95" spans="1:11" ht="13.2">
      <c r="A95" s="43">
        <v>92</v>
      </c>
      <c r="B95" s="82"/>
      <c r="C95" s="117"/>
      <c r="E95" s="118"/>
      <c r="F95" s="127"/>
      <c r="G95" s="27"/>
      <c r="H95" s="27"/>
      <c r="I95" s="27"/>
      <c r="J95" s="27"/>
      <c r="K95" s="30"/>
    </row>
    <row r="96" spans="1:11" ht="13.2">
      <c r="A96" s="43">
        <v>93</v>
      </c>
      <c r="B96" s="82"/>
      <c r="C96" s="117"/>
      <c r="E96" s="118"/>
      <c r="F96" s="127"/>
      <c r="G96" s="27"/>
      <c r="H96" s="27"/>
      <c r="I96" s="27"/>
      <c r="J96" s="27"/>
      <c r="K96" s="30"/>
    </row>
    <row r="97" spans="1:11" ht="13.2">
      <c r="A97" s="43">
        <v>94</v>
      </c>
      <c r="B97" s="82"/>
      <c r="C97" s="117"/>
      <c r="E97" s="118"/>
      <c r="F97" s="127"/>
      <c r="G97" s="27"/>
      <c r="H97" s="27"/>
      <c r="I97" s="27"/>
      <c r="J97" s="27"/>
      <c r="K97" s="30"/>
    </row>
    <row r="98" spans="1:11" ht="13.2">
      <c r="A98" s="43">
        <v>95</v>
      </c>
      <c r="B98" s="82"/>
      <c r="C98" s="117"/>
      <c r="E98" s="118"/>
      <c r="F98" s="127"/>
      <c r="G98" s="27"/>
      <c r="H98" s="27"/>
      <c r="I98" s="27"/>
      <c r="J98" s="27"/>
      <c r="K98" s="30"/>
    </row>
    <row r="99" spans="1:11" ht="13.2">
      <c r="A99" s="43">
        <v>96</v>
      </c>
      <c r="B99" s="82"/>
      <c r="C99" s="117"/>
      <c r="E99" s="118"/>
      <c r="F99" s="127"/>
      <c r="G99" s="27"/>
      <c r="H99" s="27"/>
      <c r="I99" s="27"/>
      <c r="J99" s="27"/>
      <c r="K99" s="30"/>
    </row>
    <row r="100" spans="1:11" ht="13.2">
      <c r="A100" s="43">
        <v>97</v>
      </c>
      <c r="B100" s="82"/>
      <c r="C100" s="117"/>
      <c r="E100" s="118"/>
      <c r="F100" s="127"/>
      <c r="G100" s="27"/>
      <c r="H100" s="27"/>
      <c r="I100" s="27"/>
      <c r="J100" s="27"/>
      <c r="K100" s="30"/>
    </row>
    <row r="101" spans="1:11" ht="13.2">
      <c r="A101" s="43">
        <v>98</v>
      </c>
      <c r="B101" s="82"/>
      <c r="C101" s="117"/>
      <c r="E101" s="118"/>
      <c r="F101" s="127"/>
      <c r="G101" s="27"/>
      <c r="H101" s="27"/>
      <c r="I101" s="27"/>
      <c r="J101" s="27"/>
      <c r="K101" s="30"/>
    </row>
    <row r="102" spans="1:11" ht="13.2">
      <c r="A102" s="43">
        <v>99</v>
      </c>
      <c r="B102" s="82"/>
      <c r="C102" s="117"/>
      <c r="E102" s="118"/>
      <c r="F102" s="127"/>
      <c r="G102" s="27"/>
      <c r="H102" s="27"/>
      <c r="I102" s="27"/>
      <c r="J102" s="27"/>
      <c r="K102" s="30"/>
    </row>
    <row r="103" spans="1:11" ht="13.2">
      <c r="A103" s="43">
        <v>100</v>
      </c>
      <c r="B103" s="82"/>
      <c r="C103" s="117"/>
      <c r="E103" s="118"/>
      <c r="F103" s="127"/>
      <c r="G103" s="27"/>
      <c r="H103" s="27"/>
      <c r="I103" s="27"/>
      <c r="J103" s="27"/>
      <c r="K103" s="30"/>
    </row>
    <row r="104" spans="1:11" ht="13.2">
      <c r="A104" s="43">
        <v>101</v>
      </c>
      <c r="B104" s="82"/>
      <c r="C104" s="117"/>
      <c r="E104" s="118"/>
      <c r="F104" s="127"/>
      <c r="G104" s="27"/>
      <c r="H104" s="27"/>
      <c r="I104" s="27"/>
      <c r="J104" s="27"/>
      <c r="K104" s="30"/>
    </row>
    <row r="105" spans="1:11" ht="13.2">
      <c r="A105" s="43">
        <v>102</v>
      </c>
      <c r="B105" s="82"/>
      <c r="C105" s="117"/>
      <c r="E105" s="118"/>
      <c r="F105" s="127"/>
      <c r="G105" s="27"/>
      <c r="H105" s="27"/>
      <c r="I105" s="27"/>
      <c r="J105" s="27"/>
      <c r="K105" s="30"/>
    </row>
    <row r="106" spans="1:11" ht="13.2">
      <c r="A106" s="43">
        <v>103</v>
      </c>
      <c r="B106" s="82"/>
      <c r="C106" s="117"/>
      <c r="E106" s="118"/>
      <c r="F106" s="127"/>
      <c r="G106" s="27"/>
      <c r="H106" s="27"/>
      <c r="I106" s="27"/>
      <c r="J106" s="27"/>
      <c r="K106" s="30"/>
    </row>
    <row r="107" spans="1:11" ht="13.2">
      <c r="A107" s="43">
        <v>104</v>
      </c>
      <c r="B107" s="82"/>
      <c r="C107" s="117"/>
      <c r="E107" s="118"/>
      <c r="F107" s="127"/>
      <c r="G107" s="27"/>
      <c r="H107" s="27"/>
      <c r="I107" s="27"/>
      <c r="J107" s="27"/>
      <c r="K107" s="30"/>
    </row>
    <row r="108" spans="1:11" ht="13.2">
      <c r="A108" s="43">
        <v>105</v>
      </c>
      <c r="B108" s="82"/>
      <c r="C108" s="117"/>
      <c r="E108" s="118"/>
      <c r="F108" s="127"/>
      <c r="G108" s="27"/>
      <c r="H108" s="27"/>
      <c r="I108" s="27"/>
      <c r="J108" s="27"/>
      <c r="K108" s="30"/>
    </row>
    <row r="109" spans="1:11" ht="13.2">
      <c r="A109" s="43"/>
      <c r="B109" s="82"/>
      <c r="C109" s="117"/>
      <c r="E109" s="118"/>
      <c r="F109" s="82"/>
      <c r="G109" s="30"/>
      <c r="H109" s="30"/>
      <c r="I109" s="30"/>
      <c r="J109" s="30"/>
      <c r="K109" s="30"/>
    </row>
    <row r="110" spans="1:11" ht="13.2">
      <c r="A110" s="43"/>
      <c r="B110" s="82"/>
      <c r="C110" s="117"/>
      <c r="E110" s="118"/>
      <c r="F110" s="82"/>
      <c r="G110" s="30"/>
      <c r="H110" s="30"/>
      <c r="I110" s="30"/>
      <c r="J110" s="30"/>
      <c r="K110" s="30"/>
    </row>
    <row r="111" spans="1:11" ht="13.2">
      <c r="A111" s="43"/>
      <c r="B111" s="82"/>
      <c r="C111" s="117"/>
      <c r="E111" s="118"/>
      <c r="F111" s="82"/>
      <c r="G111" s="30"/>
      <c r="H111" s="30"/>
      <c r="I111" s="30"/>
      <c r="J111" s="30"/>
      <c r="K111" s="30"/>
    </row>
    <row r="112" spans="1:11" ht="13.2">
      <c r="A112" s="43"/>
      <c r="B112" s="82"/>
      <c r="C112" s="117"/>
      <c r="E112" s="118"/>
      <c r="F112" s="82"/>
      <c r="G112" s="30"/>
      <c r="H112" s="30"/>
      <c r="I112" s="30"/>
      <c r="J112" s="30"/>
      <c r="K112" s="30"/>
    </row>
    <row r="113" spans="1:11" ht="13.2">
      <c r="A113" s="43"/>
      <c r="B113" s="82"/>
      <c r="C113" s="117"/>
      <c r="E113" s="118"/>
      <c r="F113" s="82"/>
      <c r="G113" s="30"/>
      <c r="H113" s="30"/>
      <c r="I113" s="30"/>
      <c r="J113" s="30"/>
      <c r="K113" s="30"/>
    </row>
    <row r="114" spans="1:11" ht="13.2">
      <c r="A114" s="43"/>
      <c r="B114" s="82"/>
      <c r="C114" s="117"/>
      <c r="E114" s="118"/>
      <c r="F114" s="82"/>
      <c r="G114" s="30"/>
      <c r="H114" s="30"/>
      <c r="I114" s="30"/>
      <c r="J114" s="30"/>
      <c r="K114" s="30"/>
    </row>
    <row r="115" spans="1:11" ht="13.2">
      <c r="A115" s="43"/>
      <c r="B115" s="82"/>
      <c r="C115" s="117"/>
      <c r="E115" s="118"/>
      <c r="F115" s="82"/>
      <c r="G115" s="30"/>
      <c r="H115" s="30"/>
      <c r="I115" s="30"/>
      <c r="J115" s="30"/>
      <c r="K115" s="30"/>
    </row>
    <row r="116" spans="1:11" ht="13.2">
      <c r="A116" s="43"/>
      <c r="B116" s="82"/>
      <c r="C116" s="117"/>
      <c r="E116" s="118"/>
      <c r="F116" s="82"/>
      <c r="G116" s="30"/>
      <c r="H116" s="30"/>
      <c r="I116" s="30"/>
      <c r="J116" s="30"/>
      <c r="K116" s="30"/>
    </row>
    <row r="117" spans="1:11" ht="13.2">
      <c r="A117" s="43"/>
      <c r="B117" s="82"/>
      <c r="C117" s="117"/>
      <c r="E117" s="118"/>
      <c r="F117" s="82"/>
      <c r="G117" s="30"/>
      <c r="H117" s="30"/>
      <c r="I117" s="30"/>
      <c r="J117" s="30"/>
      <c r="K117" s="30"/>
    </row>
    <row r="118" spans="1:11" ht="13.2">
      <c r="A118" s="43"/>
      <c r="B118" s="82"/>
      <c r="C118" s="117"/>
      <c r="E118" s="118"/>
      <c r="F118" s="82"/>
      <c r="G118" s="30"/>
      <c r="H118" s="30"/>
      <c r="I118" s="30"/>
      <c r="J118" s="30"/>
      <c r="K118" s="30"/>
    </row>
    <row r="119" spans="1:11" ht="13.2">
      <c r="A119" s="43"/>
      <c r="B119" s="82"/>
      <c r="C119" s="117"/>
      <c r="E119" s="118"/>
      <c r="F119" s="82"/>
      <c r="G119" s="30"/>
      <c r="H119" s="30"/>
      <c r="I119" s="30"/>
      <c r="J119" s="30"/>
      <c r="K119" s="30"/>
    </row>
    <row r="120" spans="1:11" ht="13.2">
      <c r="A120" s="43"/>
      <c r="B120" s="82"/>
      <c r="C120" s="117"/>
      <c r="E120" s="118"/>
      <c r="F120" s="82"/>
      <c r="G120" s="30"/>
      <c r="H120" s="30"/>
      <c r="I120" s="30"/>
      <c r="J120" s="30"/>
      <c r="K120" s="30"/>
    </row>
    <row r="121" spans="1:11" ht="13.2">
      <c r="A121" s="43"/>
      <c r="B121" s="82"/>
      <c r="C121" s="117"/>
      <c r="E121" s="118"/>
      <c r="F121" s="82"/>
      <c r="G121" s="30"/>
      <c r="H121" s="30"/>
      <c r="I121" s="30"/>
      <c r="J121" s="30"/>
      <c r="K121" s="30"/>
    </row>
    <row r="122" spans="1:11" ht="13.2">
      <c r="A122" s="43"/>
      <c r="B122" s="82"/>
      <c r="C122" s="117"/>
      <c r="E122" s="118"/>
      <c r="F122" s="82"/>
      <c r="G122" s="30"/>
      <c r="H122" s="30"/>
      <c r="I122" s="30"/>
      <c r="J122" s="30"/>
      <c r="K122" s="30"/>
    </row>
    <row r="123" spans="1:11" ht="13.2">
      <c r="A123" s="43"/>
      <c r="B123" s="82"/>
      <c r="C123" s="117"/>
      <c r="E123" s="118"/>
      <c r="F123" s="82"/>
      <c r="G123" s="30"/>
      <c r="H123" s="30"/>
      <c r="I123" s="30"/>
      <c r="J123" s="30"/>
      <c r="K123" s="30"/>
    </row>
    <row r="124" spans="1:11" ht="13.2">
      <c r="A124" s="82"/>
      <c r="B124" s="82"/>
      <c r="C124" s="117"/>
      <c r="E124" s="118"/>
      <c r="F124" s="82"/>
      <c r="G124" s="30"/>
      <c r="H124" s="30"/>
      <c r="I124" s="30"/>
      <c r="J124" s="30"/>
      <c r="K124" s="30"/>
    </row>
    <row r="125" spans="1:11" ht="13.2">
      <c r="A125" s="82"/>
      <c r="B125" s="82"/>
      <c r="C125" s="117"/>
      <c r="E125" s="118"/>
      <c r="F125" s="82"/>
      <c r="G125" s="30"/>
      <c r="H125" s="30"/>
      <c r="I125" s="30"/>
      <c r="J125" s="30"/>
      <c r="K125" s="30"/>
    </row>
    <row r="126" spans="1:11" ht="13.2">
      <c r="A126" s="82"/>
      <c r="B126" s="82"/>
      <c r="C126" s="117"/>
      <c r="E126" s="118"/>
      <c r="F126" s="82"/>
      <c r="G126" s="30"/>
      <c r="H126" s="30"/>
      <c r="I126" s="30"/>
      <c r="J126" s="30"/>
      <c r="K126" s="30"/>
    </row>
    <row r="127" spans="1:11" ht="13.2">
      <c r="A127" s="82"/>
      <c r="B127" s="82"/>
      <c r="C127" s="117"/>
      <c r="E127" s="118"/>
      <c r="F127" s="82"/>
      <c r="G127" s="30"/>
      <c r="H127" s="30"/>
      <c r="I127" s="30"/>
      <c r="J127" s="30"/>
      <c r="K127" s="30"/>
    </row>
    <row r="128" spans="1:11" ht="13.2">
      <c r="A128" s="82"/>
      <c r="B128" s="82"/>
      <c r="C128" s="117"/>
      <c r="E128" s="118"/>
      <c r="F128" s="82"/>
      <c r="G128" s="30"/>
      <c r="H128" s="30"/>
      <c r="I128" s="30"/>
      <c r="J128" s="30"/>
      <c r="K128" s="30"/>
    </row>
    <row r="129" spans="1:11" ht="13.2">
      <c r="A129" s="82"/>
      <c r="B129" s="82"/>
      <c r="C129" s="117"/>
      <c r="E129" s="118"/>
      <c r="F129" s="82"/>
      <c r="G129" s="30"/>
      <c r="H129" s="30"/>
      <c r="I129" s="30"/>
      <c r="J129" s="30"/>
      <c r="K129" s="30"/>
    </row>
    <row r="130" spans="1:11" ht="13.2">
      <c r="A130" s="82"/>
      <c r="B130" s="82"/>
      <c r="C130" s="117"/>
      <c r="E130" s="118"/>
      <c r="F130" s="82"/>
      <c r="G130" s="30"/>
      <c r="H130" s="30"/>
      <c r="I130" s="30"/>
      <c r="J130" s="30"/>
      <c r="K130" s="30"/>
    </row>
    <row r="131" spans="1:11" ht="13.2">
      <c r="A131" s="82"/>
      <c r="B131" s="82"/>
      <c r="C131" s="117"/>
      <c r="E131" s="118"/>
      <c r="F131" s="82"/>
      <c r="G131" s="30"/>
      <c r="H131" s="30"/>
      <c r="I131" s="30"/>
      <c r="J131" s="30"/>
      <c r="K131" s="30"/>
    </row>
    <row r="132" spans="1:11" ht="13.2">
      <c r="A132" s="82"/>
      <c r="B132" s="82"/>
      <c r="C132" s="117"/>
      <c r="E132" s="118"/>
      <c r="F132" s="82"/>
      <c r="G132" s="30"/>
      <c r="H132" s="30"/>
      <c r="I132" s="30"/>
      <c r="J132" s="30"/>
      <c r="K132" s="30"/>
    </row>
    <row r="133" spans="1:11" ht="13.2">
      <c r="A133" s="82"/>
      <c r="B133" s="82"/>
      <c r="C133" s="117"/>
      <c r="E133" s="118"/>
      <c r="F133" s="82"/>
      <c r="G133" s="30"/>
      <c r="H133" s="30"/>
      <c r="I133" s="30"/>
      <c r="J133" s="30"/>
      <c r="K133" s="30"/>
    </row>
    <row r="134" spans="1:11" ht="13.2">
      <c r="A134" s="82"/>
      <c r="B134" s="82"/>
      <c r="C134" s="117"/>
      <c r="E134" s="118"/>
      <c r="F134" s="82"/>
      <c r="G134" s="30"/>
      <c r="H134" s="30"/>
      <c r="I134" s="30"/>
      <c r="J134" s="30"/>
      <c r="K134" s="30"/>
    </row>
    <row r="135" spans="1:11" ht="13.2">
      <c r="A135" s="82"/>
      <c r="B135" s="82"/>
      <c r="C135" s="117"/>
      <c r="E135" s="118"/>
      <c r="F135" s="82"/>
      <c r="G135" s="30"/>
      <c r="H135" s="30"/>
      <c r="I135" s="30"/>
      <c r="J135" s="30"/>
      <c r="K135" s="30"/>
    </row>
    <row r="136" spans="1:11" ht="13.2">
      <c r="A136" s="82"/>
      <c r="B136" s="82"/>
      <c r="C136" s="117"/>
      <c r="E136" s="118"/>
      <c r="F136" s="82"/>
      <c r="G136" s="30"/>
      <c r="H136" s="30"/>
      <c r="I136" s="30"/>
      <c r="J136" s="30"/>
      <c r="K136" s="30"/>
    </row>
    <row r="137" spans="1:11" ht="13.2">
      <c r="A137" s="82"/>
      <c r="B137" s="82"/>
      <c r="C137" s="117"/>
      <c r="E137" s="118"/>
      <c r="F137" s="82"/>
      <c r="G137" s="30"/>
      <c r="H137" s="30"/>
      <c r="I137" s="30"/>
      <c r="J137" s="30"/>
      <c r="K137" s="30"/>
    </row>
    <row r="138" spans="1:11" ht="13.2">
      <c r="A138" s="82"/>
      <c r="B138" s="82"/>
      <c r="C138" s="117"/>
      <c r="E138" s="118"/>
      <c r="F138" s="82"/>
      <c r="G138" s="30"/>
      <c r="H138" s="30"/>
      <c r="I138" s="30"/>
      <c r="J138" s="30"/>
      <c r="K138" s="30"/>
    </row>
    <row r="139" spans="1:11" ht="13.2">
      <c r="A139" s="82"/>
      <c r="B139" s="82"/>
      <c r="C139" s="117"/>
      <c r="E139" s="118"/>
      <c r="F139" s="82"/>
      <c r="G139" s="30"/>
      <c r="H139" s="30"/>
      <c r="I139" s="30"/>
      <c r="J139" s="30"/>
      <c r="K139" s="30"/>
    </row>
    <row r="140" spans="1:11" ht="13.2">
      <c r="A140" s="82"/>
      <c r="B140" s="82"/>
      <c r="C140" s="117"/>
      <c r="E140" s="118"/>
      <c r="F140" s="82"/>
      <c r="G140" s="30"/>
      <c r="H140" s="30"/>
      <c r="I140" s="30"/>
      <c r="J140" s="30"/>
      <c r="K140" s="30"/>
    </row>
    <row r="141" spans="1:11" ht="13.2">
      <c r="A141" s="82"/>
      <c r="B141" s="82"/>
      <c r="C141" s="117"/>
      <c r="E141" s="118"/>
      <c r="F141" s="82"/>
      <c r="G141" s="30"/>
      <c r="H141" s="30"/>
      <c r="I141" s="30"/>
      <c r="J141" s="30"/>
      <c r="K141" s="30"/>
    </row>
    <row r="142" spans="1:11" ht="13.2">
      <c r="A142" s="82"/>
      <c r="B142" s="82"/>
      <c r="C142" s="117"/>
      <c r="E142" s="118"/>
      <c r="F142" s="82"/>
      <c r="G142" s="30"/>
      <c r="H142" s="30"/>
      <c r="I142" s="30"/>
      <c r="J142" s="30"/>
      <c r="K142" s="30"/>
    </row>
    <row r="143" spans="1:11" ht="13.2">
      <c r="A143" s="82"/>
      <c r="B143" s="82"/>
      <c r="C143" s="117"/>
      <c r="E143" s="118"/>
      <c r="F143" s="82"/>
      <c r="G143" s="30"/>
      <c r="H143" s="30"/>
      <c r="I143" s="30"/>
      <c r="J143" s="30"/>
      <c r="K143" s="30"/>
    </row>
    <row r="144" spans="1:11" ht="13.2">
      <c r="A144" s="82"/>
      <c r="B144" s="82"/>
      <c r="C144" s="117"/>
      <c r="E144" s="118"/>
      <c r="F144" s="82"/>
      <c r="G144" s="30"/>
      <c r="H144" s="30"/>
      <c r="I144" s="30"/>
      <c r="J144" s="30"/>
      <c r="K144" s="30"/>
    </row>
    <row r="145" spans="1:11" ht="13.2">
      <c r="A145" s="82"/>
      <c r="B145" s="82"/>
      <c r="C145" s="117"/>
      <c r="E145" s="118"/>
      <c r="F145" s="82"/>
      <c r="G145" s="30"/>
      <c r="H145" s="30"/>
      <c r="I145" s="30"/>
      <c r="J145" s="30"/>
      <c r="K145" s="30"/>
    </row>
    <row r="146" spans="1:11" ht="13.2">
      <c r="A146" s="82"/>
      <c r="B146" s="82"/>
      <c r="C146" s="117"/>
      <c r="E146" s="118"/>
      <c r="F146" s="82"/>
      <c r="G146" s="30"/>
      <c r="H146" s="30"/>
      <c r="I146" s="30"/>
      <c r="J146" s="30"/>
      <c r="K146" s="30"/>
    </row>
    <row r="147" spans="1:11" ht="13.2">
      <c r="A147" s="82"/>
      <c r="B147" s="82"/>
      <c r="C147" s="117"/>
      <c r="E147" s="118"/>
      <c r="F147" s="82"/>
      <c r="G147" s="30"/>
      <c r="H147" s="30"/>
      <c r="I147" s="30"/>
      <c r="J147" s="30"/>
      <c r="K147" s="30"/>
    </row>
    <row r="148" spans="1:11" ht="13.2">
      <c r="A148" s="82"/>
      <c r="B148" s="82"/>
      <c r="C148" s="117"/>
      <c r="E148" s="118"/>
      <c r="F148" s="82"/>
      <c r="G148" s="30"/>
      <c r="H148" s="30"/>
      <c r="I148" s="30"/>
      <c r="J148" s="30"/>
      <c r="K148" s="30"/>
    </row>
    <row r="149" spans="1:11" ht="13.2">
      <c r="A149" s="82"/>
      <c r="B149" s="82"/>
      <c r="C149" s="117"/>
      <c r="E149" s="118"/>
      <c r="F149" s="82"/>
      <c r="G149" s="30"/>
      <c r="H149" s="30"/>
      <c r="I149" s="30"/>
      <c r="J149" s="30"/>
      <c r="K149" s="30"/>
    </row>
    <row r="150" spans="1:11" ht="13.2">
      <c r="A150" s="82"/>
      <c r="B150" s="82"/>
      <c r="C150" s="117"/>
      <c r="E150" s="118"/>
      <c r="F150" s="82"/>
      <c r="G150" s="30"/>
      <c r="H150" s="30"/>
      <c r="I150" s="30"/>
      <c r="J150" s="30"/>
      <c r="K150" s="30"/>
    </row>
    <row r="151" spans="1:11" ht="13.2">
      <c r="A151" s="82"/>
      <c r="B151" s="82"/>
      <c r="C151" s="117"/>
      <c r="E151" s="118"/>
      <c r="F151" s="82"/>
      <c r="G151" s="30"/>
      <c r="H151" s="30"/>
      <c r="I151" s="30"/>
      <c r="J151" s="30"/>
      <c r="K151" s="30"/>
    </row>
    <row r="152" spans="1:11" ht="13.2">
      <c r="A152" s="82"/>
      <c r="B152" s="82"/>
      <c r="C152" s="117"/>
      <c r="E152" s="118"/>
      <c r="F152" s="82"/>
      <c r="G152" s="30"/>
      <c r="H152" s="30"/>
      <c r="I152" s="30"/>
      <c r="J152" s="30"/>
      <c r="K152" s="30"/>
    </row>
    <row r="153" spans="1:11" ht="13.2">
      <c r="A153" s="82"/>
      <c r="B153" s="82"/>
      <c r="C153" s="117"/>
      <c r="E153" s="118"/>
      <c r="F153" s="82"/>
      <c r="G153" s="30"/>
      <c r="H153" s="30"/>
      <c r="I153" s="30"/>
      <c r="J153" s="30"/>
      <c r="K153" s="30"/>
    </row>
    <row r="154" spans="1:11" ht="13.2">
      <c r="A154" s="82"/>
      <c r="B154" s="82"/>
      <c r="C154" s="117"/>
      <c r="E154" s="118"/>
      <c r="F154" s="82"/>
      <c r="G154" s="30"/>
      <c r="H154" s="30"/>
      <c r="I154" s="30"/>
      <c r="J154" s="30"/>
      <c r="K154" s="30"/>
    </row>
    <row r="155" spans="1:11" ht="13.2">
      <c r="A155" s="82"/>
      <c r="B155" s="82"/>
      <c r="C155" s="117"/>
      <c r="E155" s="118"/>
      <c r="F155" s="82"/>
      <c r="G155" s="30"/>
      <c r="H155" s="30"/>
      <c r="I155" s="30"/>
      <c r="J155" s="30"/>
      <c r="K155" s="30"/>
    </row>
    <row r="156" spans="1:11" ht="13.2">
      <c r="A156" s="82"/>
      <c r="B156" s="82"/>
      <c r="C156" s="117"/>
      <c r="E156" s="118"/>
      <c r="F156" s="82"/>
      <c r="G156" s="30"/>
      <c r="H156" s="30"/>
      <c r="I156" s="30"/>
      <c r="J156" s="30"/>
      <c r="K156" s="30"/>
    </row>
    <row r="157" spans="1:11" ht="13.2">
      <c r="A157" s="82"/>
      <c r="B157" s="82"/>
      <c r="C157" s="117"/>
      <c r="E157" s="118"/>
      <c r="F157" s="82"/>
      <c r="G157" s="30"/>
      <c r="H157" s="30"/>
      <c r="I157" s="30"/>
      <c r="J157" s="30"/>
      <c r="K157" s="30"/>
    </row>
    <row r="158" spans="1:11" ht="13.2">
      <c r="A158" s="82"/>
      <c r="B158" s="82"/>
      <c r="C158" s="117"/>
      <c r="E158" s="118"/>
      <c r="F158" s="82"/>
      <c r="G158" s="30"/>
      <c r="H158" s="30"/>
      <c r="I158" s="30"/>
      <c r="J158" s="30"/>
      <c r="K158" s="30"/>
    </row>
    <row r="159" spans="1:11" ht="13.2">
      <c r="A159" s="82"/>
      <c r="B159" s="82"/>
      <c r="C159" s="117"/>
      <c r="E159" s="118"/>
      <c r="F159" s="82"/>
      <c r="G159" s="30"/>
      <c r="H159" s="30"/>
      <c r="I159" s="30"/>
      <c r="J159" s="30"/>
      <c r="K159" s="30"/>
    </row>
    <row r="160" spans="1:11" ht="13.2">
      <c r="A160" s="82"/>
      <c r="B160" s="82"/>
      <c r="C160" s="117"/>
      <c r="E160" s="118"/>
      <c r="F160" s="82"/>
      <c r="G160" s="30"/>
      <c r="H160" s="30"/>
      <c r="I160" s="30"/>
      <c r="J160" s="30"/>
      <c r="K160" s="30"/>
    </row>
    <row r="161" spans="1:11" ht="13.2">
      <c r="A161" s="82"/>
      <c r="B161" s="82"/>
      <c r="C161" s="117"/>
      <c r="E161" s="118"/>
      <c r="F161" s="82"/>
      <c r="G161" s="30"/>
      <c r="H161" s="30"/>
      <c r="I161" s="30"/>
      <c r="J161" s="30"/>
      <c r="K161" s="30"/>
    </row>
    <row r="162" spans="1:11" ht="13.2">
      <c r="A162" s="82"/>
      <c r="B162" s="82"/>
      <c r="C162" s="117"/>
      <c r="E162" s="118"/>
      <c r="F162" s="82"/>
      <c r="G162" s="30"/>
      <c r="H162" s="30"/>
      <c r="I162" s="30"/>
      <c r="J162" s="30"/>
      <c r="K162" s="30"/>
    </row>
    <row r="163" spans="1:11" ht="13.2">
      <c r="A163" s="82"/>
      <c r="B163" s="82"/>
      <c r="C163" s="117"/>
      <c r="E163" s="118"/>
      <c r="F163" s="82"/>
      <c r="G163" s="30"/>
      <c r="H163" s="30"/>
      <c r="I163" s="30"/>
      <c r="J163" s="30"/>
      <c r="K163" s="30"/>
    </row>
    <row r="164" spans="1:11" ht="13.2">
      <c r="A164" s="82"/>
      <c r="B164" s="82"/>
      <c r="C164" s="117"/>
      <c r="E164" s="118"/>
      <c r="F164" s="82"/>
      <c r="G164" s="30"/>
      <c r="H164" s="30"/>
      <c r="I164" s="30"/>
      <c r="J164" s="30"/>
      <c r="K164" s="30"/>
    </row>
    <row r="165" spans="1:11" ht="13.2">
      <c r="A165" s="82"/>
      <c r="B165" s="82"/>
      <c r="C165" s="117"/>
      <c r="E165" s="118"/>
      <c r="F165" s="82"/>
      <c r="G165" s="30"/>
      <c r="H165" s="30"/>
      <c r="I165" s="30"/>
      <c r="J165" s="30"/>
      <c r="K165" s="30"/>
    </row>
    <row r="166" spans="1:11" ht="13.2">
      <c r="A166" s="82"/>
      <c r="B166" s="82"/>
      <c r="C166" s="117"/>
      <c r="E166" s="118"/>
      <c r="F166" s="82"/>
      <c r="G166" s="30"/>
      <c r="H166" s="30"/>
      <c r="I166" s="30"/>
      <c r="J166" s="30"/>
      <c r="K166" s="30"/>
    </row>
    <row r="167" spans="1:11" ht="13.2">
      <c r="A167" s="82"/>
      <c r="B167" s="82"/>
      <c r="C167" s="117"/>
      <c r="E167" s="118"/>
      <c r="F167" s="82"/>
      <c r="G167" s="30"/>
      <c r="H167" s="30"/>
      <c r="I167" s="30"/>
      <c r="J167" s="30"/>
      <c r="K167" s="30"/>
    </row>
    <row r="168" spans="1:11" ht="13.2">
      <c r="A168" s="82"/>
      <c r="B168" s="82"/>
      <c r="C168" s="117"/>
      <c r="E168" s="118"/>
      <c r="F168" s="82"/>
      <c r="G168" s="30"/>
      <c r="H168" s="30"/>
      <c r="I168" s="30"/>
      <c r="J168" s="30"/>
      <c r="K168" s="30"/>
    </row>
    <row r="169" spans="1:11" ht="13.2">
      <c r="A169" s="82"/>
      <c r="B169" s="82"/>
      <c r="C169" s="117"/>
      <c r="E169" s="118"/>
      <c r="F169" s="82"/>
      <c r="G169" s="30"/>
      <c r="H169" s="30"/>
      <c r="I169" s="30"/>
      <c r="J169" s="30"/>
      <c r="K169" s="30"/>
    </row>
    <row r="170" spans="1:11" ht="13.2">
      <c r="A170" s="82"/>
      <c r="B170" s="82"/>
      <c r="C170" s="117"/>
      <c r="E170" s="118"/>
      <c r="F170" s="82"/>
      <c r="G170" s="30"/>
      <c r="H170" s="30"/>
      <c r="I170" s="30"/>
      <c r="J170" s="30"/>
      <c r="K170" s="30"/>
    </row>
    <row r="171" spans="1:11" ht="13.2">
      <c r="A171" s="82"/>
      <c r="B171" s="82"/>
      <c r="C171" s="117"/>
      <c r="E171" s="118"/>
      <c r="F171" s="82"/>
      <c r="G171" s="30"/>
      <c r="H171" s="30"/>
      <c r="I171" s="30"/>
      <c r="J171" s="30"/>
      <c r="K171" s="30"/>
    </row>
    <row r="172" spans="1:11" ht="13.2">
      <c r="A172" s="82"/>
      <c r="B172" s="82"/>
      <c r="C172" s="117"/>
      <c r="E172" s="118"/>
      <c r="F172" s="82"/>
      <c r="G172" s="30"/>
      <c r="H172" s="30"/>
      <c r="I172" s="30"/>
      <c r="J172" s="30"/>
      <c r="K172" s="30"/>
    </row>
    <row r="173" spans="1:11" ht="13.2">
      <c r="A173" s="82"/>
      <c r="B173" s="82"/>
      <c r="C173" s="117"/>
      <c r="E173" s="118"/>
      <c r="F173" s="82"/>
      <c r="G173" s="30"/>
      <c r="H173" s="30"/>
      <c r="I173" s="30"/>
      <c r="J173" s="30"/>
      <c r="K173" s="30"/>
    </row>
    <row r="174" spans="1:11" ht="13.2">
      <c r="A174" s="82"/>
      <c r="B174" s="82"/>
      <c r="C174" s="117"/>
      <c r="E174" s="118"/>
      <c r="F174" s="82"/>
      <c r="G174" s="30"/>
      <c r="H174" s="30"/>
      <c r="I174" s="30"/>
      <c r="J174" s="30"/>
      <c r="K174" s="30"/>
    </row>
    <row r="175" spans="1:11" ht="13.2">
      <c r="A175" s="82"/>
      <c r="B175" s="82"/>
      <c r="C175" s="117"/>
      <c r="E175" s="118"/>
      <c r="F175" s="82"/>
      <c r="G175" s="30"/>
      <c r="H175" s="30"/>
      <c r="I175" s="30"/>
      <c r="J175" s="30"/>
      <c r="K175" s="30"/>
    </row>
    <row r="176" spans="1:11" ht="13.2">
      <c r="A176" s="82"/>
      <c r="B176" s="82"/>
      <c r="C176" s="117"/>
      <c r="E176" s="118"/>
      <c r="F176" s="82"/>
      <c r="G176" s="30"/>
      <c r="H176" s="30"/>
      <c r="I176" s="30"/>
      <c r="J176" s="30"/>
      <c r="K176" s="30"/>
    </row>
    <row r="177" spans="1:11" ht="13.2">
      <c r="A177" s="82"/>
      <c r="B177" s="82"/>
      <c r="C177" s="117"/>
      <c r="E177" s="118"/>
      <c r="F177" s="82"/>
      <c r="G177" s="30"/>
      <c r="H177" s="30"/>
      <c r="I177" s="30"/>
      <c r="J177" s="30"/>
      <c r="K177" s="30"/>
    </row>
    <row r="178" spans="1:11" ht="13.2">
      <c r="A178" s="82"/>
      <c r="B178" s="82"/>
      <c r="C178" s="117"/>
      <c r="E178" s="118"/>
      <c r="F178" s="82"/>
      <c r="G178" s="30"/>
      <c r="H178" s="30"/>
      <c r="I178" s="30"/>
      <c r="J178" s="30"/>
      <c r="K178" s="30"/>
    </row>
    <row r="179" spans="1:11" ht="13.2">
      <c r="A179" s="82"/>
      <c r="B179" s="82"/>
      <c r="C179" s="117"/>
      <c r="E179" s="118"/>
      <c r="F179" s="82"/>
      <c r="G179" s="30"/>
      <c r="H179" s="30"/>
      <c r="I179" s="30"/>
      <c r="J179" s="30"/>
      <c r="K179" s="30"/>
    </row>
    <row r="180" spans="1:11" ht="13.2">
      <c r="A180" s="82"/>
      <c r="B180" s="82"/>
      <c r="C180" s="117"/>
      <c r="E180" s="118"/>
      <c r="F180" s="82"/>
      <c r="G180" s="30"/>
      <c r="H180" s="30"/>
      <c r="I180" s="30"/>
      <c r="J180" s="30"/>
      <c r="K180" s="30"/>
    </row>
    <row r="181" spans="1:11" ht="13.2">
      <c r="A181" s="82"/>
      <c r="B181" s="82"/>
      <c r="C181" s="117"/>
      <c r="E181" s="118"/>
      <c r="F181" s="82"/>
      <c r="G181" s="30"/>
      <c r="H181" s="30"/>
      <c r="I181" s="30"/>
      <c r="J181" s="30"/>
      <c r="K181" s="30"/>
    </row>
    <row r="182" spans="1:11" ht="13.2">
      <c r="A182" s="82"/>
      <c r="B182" s="82"/>
      <c r="C182" s="117"/>
      <c r="E182" s="118"/>
      <c r="F182" s="82"/>
      <c r="G182" s="30"/>
      <c r="H182" s="30"/>
      <c r="I182" s="30"/>
      <c r="J182" s="30"/>
      <c r="K182" s="30"/>
    </row>
    <row r="183" spans="1:11" ht="13.2">
      <c r="A183" s="82"/>
      <c r="B183" s="82"/>
      <c r="C183" s="117"/>
      <c r="E183" s="118"/>
      <c r="F183" s="82"/>
      <c r="G183" s="30"/>
      <c r="H183" s="30"/>
      <c r="I183" s="30"/>
      <c r="J183" s="30"/>
      <c r="K183" s="30"/>
    </row>
    <row r="184" spans="1:11" ht="13.2">
      <c r="A184" s="82"/>
      <c r="B184" s="82"/>
      <c r="C184" s="117"/>
      <c r="E184" s="118"/>
      <c r="F184" s="82"/>
      <c r="G184" s="30"/>
      <c r="H184" s="30"/>
      <c r="I184" s="30"/>
      <c r="J184" s="30"/>
      <c r="K184" s="30"/>
    </row>
    <row r="185" spans="1:11" ht="13.2">
      <c r="A185" s="82"/>
      <c r="B185" s="82"/>
      <c r="C185" s="117"/>
      <c r="E185" s="118"/>
      <c r="F185" s="82"/>
      <c r="G185" s="30"/>
      <c r="H185" s="30"/>
      <c r="I185" s="30"/>
      <c r="J185" s="30"/>
      <c r="K185" s="30"/>
    </row>
    <row r="186" spans="1:11" ht="13.2">
      <c r="A186" s="82"/>
      <c r="B186" s="82"/>
      <c r="C186" s="117"/>
      <c r="E186" s="118"/>
      <c r="F186" s="82"/>
      <c r="G186" s="30"/>
      <c r="H186" s="30"/>
      <c r="I186" s="30"/>
      <c r="J186" s="30"/>
      <c r="K186" s="30"/>
    </row>
    <row r="187" spans="1:11" ht="13.2">
      <c r="A187" s="82"/>
      <c r="B187" s="82"/>
      <c r="C187" s="117"/>
      <c r="E187" s="118"/>
      <c r="F187" s="82"/>
      <c r="G187" s="30"/>
      <c r="H187" s="30"/>
      <c r="I187" s="30"/>
      <c r="J187" s="30"/>
      <c r="K187" s="30"/>
    </row>
    <row r="188" spans="1:11" ht="13.2">
      <c r="A188" s="82"/>
      <c r="B188" s="82"/>
      <c r="C188" s="117"/>
      <c r="E188" s="118"/>
      <c r="F188" s="82"/>
      <c r="G188" s="30"/>
      <c r="H188" s="30"/>
      <c r="I188" s="30"/>
      <c r="J188" s="30"/>
      <c r="K188" s="30"/>
    </row>
    <row r="189" spans="1:11" ht="13.2">
      <c r="A189" s="82"/>
      <c r="B189" s="82"/>
      <c r="C189" s="117"/>
      <c r="E189" s="118"/>
      <c r="F189" s="82"/>
      <c r="G189" s="30"/>
      <c r="H189" s="30"/>
      <c r="I189" s="30"/>
      <c r="J189" s="30"/>
      <c r="K189" s="30"/>
    </row>
    <row r="190" spans="1:11" ht="13.2">
      <c r="A190" s="82"/>
      <c r="B190" s="82"/>
      <c r="C190" s="117"/>
      <c r="E190" s="118"/>
      <c r="F190" s="82"/>
      <c r="G190" s="30"/>
      <c r="H190" s="30"/>
      <c r="I190" s="30"/>
      <c r="J190" s="30"/>
      <c r="K190" s="30"/>
    </row>
    <row r="191" spans="1:11" ht="13.2">
      <c r="A191" s="82"/>
      <c r="B191" s="82"/>
      <c r="C191" s="117"/>
      <c r="E191" s="118"/>
      <c r="F191" s="82"/>
      <c r="G191" s="30"/>
      <c r="H191" s="30"/>
      <c r="I191" s="30"/>
      <c r="J191" s="30"/>
      <c r="K191" s="30"/>
    </row>
    <row r="192" spans="1:11" ht="13.2">
      <c r="A192" s="82"/>
      <c r="B192" s="82"/>
      <c r="C192" s="117"/>
      <c r="E192" s="118"/>
      <c r="F192" s="82"/>
      <c r="G192" s="30"/>
      <c r="H192" s="30"/>
      <c r="I192" s="30"/>
      <c r="J192" s="30"/>
      <c r="K192" s="30"/>
    </row>
    <row r="193" spans="1:11" ht="13.2">
      <c r="A193" s="82"/>
      <c r="B193" s="82"/>
      <c r="C193" s="117"/>
      <c r="E193" s="118"/>
      <c r="F193" s="82"/>
      <c r="G193" s="30"/>
      <c r="H193" s="30"/>
      <c r="I193" s="30"/>
      <c r="J193" s="30"/>
      <c r="K193" s="30"/>
    </row>
    <row r="194" spans="1:11" ht="13.2">
      <c r="A194" s="82"/>
      <c r="B194" s="82"/>
      <c r="C194" s="117"/>
      <c r="E194" s="118"/>
      <c r="F194" s="82"/>
      <c r="G194" s="30"/>
      <c r="H194" s="30"/>
      <c r="I194" s="30"/>
      <c r="J194" s="30"/>
      <c r="K194" s="30"/>
    </row>
    <row r="195" spans="1:11" ht="13.2">
      <c r="A195" s="82"/>
      <c r="B195" s="82"/>
      <c r="C195" s="117"/>
      <c r="E195" s="118"/>
      <c r="F195" s="82"/>
      <c r="G195" s="30"/>
      <c r="H195" s="30"/>
      <c r="I195" s="30"/>
      <c r="J195" s="30"/>
      <c r="K195" s="30"/>
    </row>
    <row r="196" spans="1:11" ht="13.2">
      <c r="A196" s="82"/>
      <c r="B196" s="82"/>
      <c r="C196" s="117"/>
      <c r="E196" s="118"/>
      <c r="F196" s="82"/>
      <c r="G196" s="30"/>
      <c r="H196" s="30"/>
      <c r="I196" s="30"/>
      <c r="J196" s="30"/>
      <c r="K196" s="30"/>
    </row>
    <row r="197" spans="1:11" ht="13.2">
      <c r="A197" s="82"/>
      <c r="B197" s="82"/>
      <c r="C197" s="117"/>
      <c r="E197" s="118"/>
      <c r="F197" s="82"/>
      <c r="G197" s="30"/>
      <c r="H197" s="30"/>
      <c r="I197" s="30"/>
      <c r="J197" s="30"/>
      <c r="K197" s="30"/>
    </row>
    <row r="198" spans="1:11" ht="13.2">
      <c r="A198" s="82"/>
      <c r="B198" s="82"/>
      <c r="C198" s="117"/>
      <c r="E198" s="118"/>
      <c r="F198" s="82"/>
      <c r="G198" s="30"/>
      <c r="H198" s="30"/>
      <c r="I198" s="30"/>
      <c r="J198" s="30"/>
      <c r="K198" s="30"/>
    </row>
    <row r="199" spans="1:11" ht="13.2">
      <c r="A199" s="82"/>
      <c r="B199" s="82"/>
      <c r="C199" s="117"/>
      <c r="E199" s="118"/>
      <c r="F199" s="82"/>
      <c r="G199" s="30"/>
      <c r="H199" s="30"/>
      <c r="I199" s="30"/>
      <c r="J199" s="30"/>
      <c r="K199" s="30"/>
    </row>
    <row r="200" spans="1:11" ht="13.2">
      <c r="A200" s="82"/>
      <c r="B200" s="82"/>
      <c r="C200" s="117"/>
      <c r="E200" s="118"/>
      <c r="F200" s="82"/>
      <c r="G200" s="30"/>
      <c r="H200" s="30"/>
      <c r="I200" s="30"/>
      <c r="J200" s="30"/>
      <c r="K200" s="30"/>
    </row>
    <row r="201" spans="1:11" ht="13.2">
      <c r="A201" s="82"/>
      <c r="B201" s="82"/>
      <c r="C201" s="117"/>
      <c r="E201" s="118"/>
      <c r="F201" s="82"/>
      <c r="G201" s="30"/>
      <c r="H201" s="30"/>
      <c r="I201" s="30"/>
      <c r="J201" s="30"/>
      <c r="K201" s="30"/>
    </row>
    <row r="202" spans="1:11" ht="13.2">
      <c r="A202" s="82"/>
      <c r="B202" s="82"/>
      <c r="C202" s="117"/>
      <c r="E202" s="118"/>
      <c r="F202" s="82"/>
      <c r="G202" s="30"/>
      <c r="H202" s="30"/>
      <c r="I202" s="30"/>
      <c r="J202" s="30"/>
      <c r="K202" s="30"/>
    </row>
    <row r="203" spans="1:11" ht="13.2">
      <c r="A203" s="82"/>
      <c r="B203" s="82"/>
      <c r="C203" s="117"/>
      <c r="E203" s="118"/>
      <c r="F203" s="82"/>
      <c r="G203" s="30"/>
      <c r="H203" s="30"/>
      <c r="I203" s="30"/>
      <c r="J203" s="30"/>
      <c r="K203" s="30"/>
    </row>
    <row r="204" spans="1:11" ht="13.2">
      <c r="A204" s="82"/>
      <c r="B204" s="82"/>
      <c r="C204" s="117"/>
      <c r="E204" s="118"/>
      <c r="F204" s="82"/>
      <c r="G204" s="30"/>
      <c r="H204" s="30"/>
      <c r="I204" s="30"/>
      <c r="J204" s="30"/>
      <c r="K204" s="30"/>
    </row>
    <row r="205" spans="1:11" ht="13.2">
      <c r="A205" s="82"/>
      <c r="B205" s="82"/>
      <c r="C205" s="117"/>
      <c r="E205" s="118"/>
      <c r="F205" s="82"/>
      <c r="G205" s="30"/>
      <c r="H205" s="30"/>
      <c r="I205" s="30"/>
      <c r="J205" s="30"/>
      <c r="K205" s="30"/>
    </row>
    <row r="206" spans="1:11" ht="13.2">
      <c r="A206" s="82"/>
      <c r="B206" s="82"/>
      <c r="C206" s="117"/>
      <c r="E206" s="118"/>
      <c r="F206" s="82"/>
      <c r="G206" s="30"/>
      <c r="H206" s="30"/>
      <c r="I206" s="30"/>
      <c r="J206" s="30"/>
      <c r="K206" s="30"/>
    </row>
    <row r="207" spans="1:11" ht="13.2">
      <c r="A207" s="82"/>
      <c r="B207" s="82"/>
      <c r="C207" s="117"/>
      <c r="E207" s="118"/>
      <c r="F207" s="82"/>
      <c r="G207" s="30"/>
      <c r="H207" s="30"/>
      <c r="I207" s="30"/>
      <c r="J207" s="30"/>
      <c r="K207" s="30"/>
    </row>
    <row r="208" spans="1:11" ht="13.2">
      <c r="A208" s="82"/>
      <c r="B208" s="82"/>
      <c r="C208" s="117"/>
      <c r="E208" s="118"/>
      <c r="F208" s="82"/>
      <c r="G208" s="30"/>
      <c r="H208" s="30"/>
      <c r="I208" s="30"/>
      <c r="J208" s="30"/>
      <c r="K208" s="30"/>
    </row>
    <row r="209" spans="1:11" ht="13.2">
      <c r="A209" s="82"/>
      <c r="B209" s="82"/>
      <c r="C209" s="117"/>
      <c r="E209" s="118"/>
      <c r="F209" s="82"/>
      <c r="G209" s="30"/>
      <c r="H209" s="30"/>
      <c r="I209" s="30"/>
      <c r="J209" s="30"/>
      <c r="K209" s="30"/>
    </row>
    <row r="210" spans="1:11" ht="13.2">
      <c r="A210" s="82"/>
      <c r="B210" s="82"/>
      <c r="C210" s="117"/>
      <c r="E210" s="118"/>
      <c r="F210" s="82"/>
      <c r="G210" s="30"/>
      <c r="H210" s="30"/>
      <c r="I210" s="30"/>
      <c r="J210" s="30"/>
      <c r="K210" s="30"/>
    </row>
    <row r="211" spans="1:11" ht="13.2">
      <c r="A211" s="82"/>
      <c r="B211" s="82"/>
      <c r="C211" s="117"/>
      <c r="E211" s="118"/>
      <c r="F211" s="82"/>
      <c r="G211" s="30"/>
      <c r="H211" s="30"/>
      <c r="I211" s="30"/>
      <c r="J211" s="30"/>
      <c r="K211" s="30"/>
    </row>
    <row r="212" spans="1:11" ht="13.2">
      <c r="A212" s="82"/>
      <c r="B212" s="82"/>
      <c r="C212" s="117"/>
      <c r="E212" s="118"/>
      <c r="F212" s="82"/>
      <c r="G212" s="30"/>
      <c r="H212" s="30"/>
      <c r="I212" s="30"/>
      <c r="J212" s="30"/>
      <c r="K212" s="30"/>
    </row>
    <row r="213" spans="1:11" ht="13.2">
      <c r="A213" s="82"/>
      <c r="B213" s="82"/>
      <c r="C213" s="117"/>
      <c r="E213" s="118"/>
      <c r="F213" s="82"/>
      <c r="G213" s="30"/>
      <c r="H213" s="30"/>
      <c r="I213" s="30"/>
      <c r="J213" s="30"/>
      <c r="K213" s="30"/>
    </row>
    <row r="214" spans="1:11" ht="13.2">
      <c r="A214" s="82"/>
      <c r="B214" s="82"/>
      <c r="C214" s="117"/>
      <c r="E214" s="118"/>
      <c r="F214" s="82"/>
      <c r="G214" s="30"/>
      <c r="H214" s="30"/>
      <c r="I214" s="30"/>
      <c r="J214" s="30"/>
      <c r="K214" s="30"/>
    </row>
    <row r="215" spans="1:11" ht="13.2">
      <c r="A215" s="82"/>
      <c r="B215" s="82"/>
      <c r="C215" s="117"/>
      <c r="E215" s="118"/>
      <c r="F215" s="82"/>
      <c r="G215" s="30"/>
      <c r="H215" s="30"/>
      <c r="I215" s="30"/>
      <c r="J215" s="30"/>
      <c r="K215" s="30"/>
    </row>
    <row r="216" spans="1:11" ht="13.2">
      <c r="A216" s="82"/>
      <c r="B216" s="82"/>
      <c r="C216" s="117"/>
      <c r="E216" s="118"/>
      <c r="F216" s="82"/>
      <c r="G216" s="30"/>
      <c r="H216" s="30"/>
      <c r="I216" s="30"/>
      <c r="J216" s="30"/>
      <c r="K216" s="30"/>
    </row>
    <row r="217" spans="1:11" ht="13.2">
      <c r="A217" s="82"/>
      <c r="B217" s="82"/>
      <c r="C217" s="117"/>
      <c r="E217" s="118"/>
      <c r="F217" s="82"/>
      <c r="G217" s="30"/>
      <c r="H217" s="30"/>
      <c r="I217" s="30"/>
      <c r="J217" s="30"/>
      <c r="K217" s="30"/>
    </row>
    <row r="218" spans="1:11" ht="13.2">
      <c r="A218" s="82"/>
      <c r="B218" s="82"/>
      <c r="C218" s="117"/>
      <c r="E218" s="118"/>
      <c r="F218" s="82"/>
      <c r="G218" s="30"/>
      <c r="H218" s="30"/>
      <c r="I218" s="30"/>
      <c r="J218" s="30"/>
      <c r="K218" s="30"/>
    </row>
    <row r="219" spans="1:11" ht="13.2">
      <c r="A219" s="82"/>
      <c r="B219" s="82"/>
      <c r="C219" s="117"/>
      <c r="E219" s="118"/>
      <c r="F219" s="82"/>
      <c r="G219" s="30"/>
      <c r="H219" s="30"/>
      <c r="I219" s="30"/>
      <c r="J219" s="30"/>
      <c r="K219" s="30"/>
    </row>
    <row r="220" spans="1:11" ht="13.2">
      <c r="A220" s="82"/>
      <c r="B220" s="82"/>
      <c r="C220" s="117"/>
      <c r="E220" s="118"/>
      <c r="F220" s="82"/>
      <c r="G220" s="30"/>
      <c r="H220" s="30"/>
      <c r="I220" s="30"/>
      <c r="J220" s="30"/>
      <c r="K220" s="30"/>
    </row>
    <row r="221" spans="1:11" ht="13.2">
      <c r="A221" s="82"/>
      <c r="B221" s="82"/>
      <c r="C221" s="117"/>
      <c r="E221" s="118"/>
      <c r="F221" s="82"/>
      <c r="G221" s="30"/>
      <c r="H221" s="30"/>
      <c r="I221" s="30"/>
      <c r="J221" s="30"/>
      <c r="K221" s="30"/>
    </row>
    <row r="222" spans="1:11" ht="13.2">
      <c r="A222" s="82"/>
      <c r="B222" s="82"/>
      <c r="C222" s="117"/>
      <c r="E222" s="118"/>
      <c r="F222" s="82"/>
      <c r="G222" s="30"/>
      <c r="H222" s="30"/>
      <c r="I222" s="30"/>
      <c r="J222" s="30"/>
      <c r="K222" s="30"/>
    </row>
    <row r="223" spans="1:11" ht="13.2">
      <c r="A223" s="82"/>
      <c r="B223" s="82"/>
      <c r="C223" s="117"/>
      <c r="E223" s="118"/>
      <c r="F223" s="82"/>
      <c r="G223" s="30"/>
      <c r="H223" s="30"/>
      <c r="I223" s="30"/>
      <c r="J223" s="30"/>
      <c r="K223" s="30"/>
    </row>
    <row r="224" spans="1:11" ht="13.2">
      <c r="A224" s="82"/>
      <c r="B224" s="82"/>
      <c r="C224" s="117"/>
      <c r="E224" s="118"/>
      <c r="F224" s="82"/>
      <c r="G224" s="30"/>
      <c r="H224" s="30"/>
      <c r="I224" s="30"/>
      <c r="J224" s="30"/>
      <c r="K224" s="30"/>
    </row>
    <row r="225" spans="1:11" ht="13.2">
      <c r="A225" s="82"/>
      <c r="B225" s="82"/>
      <c r="C225" s="117"/>
      <c r="E225" s="118"/>
      <c r="F225" s="82"/>
      <c r="G225" s="30"/>
      <c r="H225" s="30"/>
      <c r="I225" s="30"/>
      <c r="J225" s="30"/>
      <c r="K225" s="30"/>
    </row>
    <row r="226" spans="1:11" ht="13.2">
      <c r="A226" s="82"/>
      <c r="B226" s="82"/>
      <c r="C226" s="117"/>
      <c r="E226" s="118"/>
      <c r="F226" s="82"/>
      <c r="G226" s="30"/>
      <c r="H226" s="30"/>
      <c r="I226" s="30"/>
      <c r="J226" s="30"/>
      <c r="K226" s="30"/>
    </row>
    <row r="227" spans="1:11" ht="13.2">
      <c r="A227" s="82"/>
      <c r="B227" s="82"/>
      <c r="C227" s="117"/>
      <c r="E227" s="118"/>
      <c r="F227" s="82"/>
      <c r="G227" s="30"/>
      <c r="H227" s="30"/>
      <c r="I227" s="30"/>
      <c r="J227" s="30"/>
      <c r="K227" s="30"/>
    </row>
    <row r="228" spans="1:11" ht="13.2">
      <c r="A228" s="82"/>
      <c r="B228" s="82"/>
      <c r="C228" s="117"/>
      <c r="E228" s="118"/>
      <c r="F228" s="82"/>
      <c r="G228" s="30"/>
      <c r="H228" s="30"/>
      <c r="I228" s="30"/>
      <c r="J228" s="30"/>
      <c r="K228" s="30"/>
    </row>
    <row r="229" spans="1:11" ht="13.2">
      <c r="A229" s="82"/>
      <c r="B229" s="82"/>
      <c r="C229" s="117"/>
      <c r="E229" s="118"/>
      <c r="F229" s="82"/>
      <c r="G229" s="30"/>
      <c r="H229" s="30"/>
      <c r="I229" s="30"/>
      <c r="J229" s="30"/>
      <c r="K229" s="30"/>
    </row>
    <row r="230" spans="1:11" ht="13.2">
      <c r="A230" s="82"/>
      <c r="B230" s="82"/>
      <c r="C230" s="117"/>
      <c r="E230" s="118"/>
      <c r="F230" s="82"/>
      <c r="G230" s="30"/>
      <c r="H230" s="30"/>
      <c r="I230" s="30"/>
      <c r="J230" s="30"/>
      <c r="K230" s="30"/>
    </row>
    <row r="231" spans="1:11" ht="13.2">
      <c r="A231" s="82"/>
      <c r="B231" s="82"/>
      <c r="C231" s="117"/>
      <c r="E231" s="118"/>
      <c r="F231" s="82"/>
      <c r="G231" s="30"/>
      <c r="H231" s="30"/>
      <c r="I231" s="30"/>
      <c r="J231" s="30"/>
      <c r="K231" s="30"/>
    </row>
    <row r="232" spans="1:11" ht="13.2">
      <c r="A232" s="82"/>
      <c r="B232" s="82"/>
      <c r="C232" s="117"/>
      <c r="E232" s="118"/>
      <c r="F232" s="82"/>
      <c r="G232" s="30"/>
      <c r="H232" s="30"/>
      <c r="I232" s="30"/>
      <c r="J232" s="30"/>
      <c r="K232" s="30"/>
    </row>
    <row r="233" spans="1:11" ht="13.2">
      <c r="A233" s="82"/>
      <c r="B233" s="82"/>
      <c r="C233" s="117"/>
      <c r="E233" s="118"/>
      <c r="F233" s="82"/>
      <c r="G233" s="30"/>
      <c r="H233" s="30"/>
      <c r="I233" s="30"/>
      <c r="J233" s="30"/>
      <c r="K233" s="30"/>
    </row>
    <row r="234" spans="1:11" ht="13.2">
      <c r="A234" s="82"/>
      <c r="B234" s="82"/>
      <c r="C234" s="117"/>
      <c r="E234" s="118"/>
      <c r="F234" s="82"/>
      <c r="G234" s="30"/>
      <c r="H234" s="30"/>
      <c r="I234" s="30"/>
      <c r="J234" s="30"/>
      <c r="K234" s="30"/>
    </row>
    <row r="235" spans="1:11" ht="13.2">
      <c r="A235" s="82"/>
      <c r="B235" s="82"/>
      <c r="C235" s="117"/>
      <c r="E235" s="118"/>
      <c r="F235" s="82"/>
      <c r="G235" s="30"/>
      <c r="H235" s="30"/>
      <c r="I235" s="30"/>
      <c r="J235" s="30"/>
      <c r="K235" s="30"/>
    </row>
    <row r="236" spans="1:11" ht="13.2">
      <c r="A236" s="82"/>
      <c r="B236" s="82"/>
      <c r="C236" s="117"/>
      <c r="E236" s="118"/>
      <c r="F236" s="82"/>
      <c r="G236" s="30"/>
      <c r="H236" s="30"/>
      <c r="I236" s="30"/>
      <c r="J236" s="30"/>
      <c r="K236" s="30"/>
    </row>
    <row r="237" spans="1:11" ht="13.2">
      <c r="A237" s="82"/>
      <c r="B237" s="82"/>
      <c r="C237" s="117"/>
      <c r="E237" s="118"/>
      <c r="F237" s="82"/>
      <c r="G237" s="30"/>
      <c r="H237" s="30"/>
      <c r="I237" s="30"/>
      <c r="J237" s="30"/>
      <c r="K237" s="30"/>
    </row>
    <row r="238" spans="1:11" ht="13.2">
      <c r="A238" s="82"/>
      <c r="B238" s="82"/>
      <c r="C238" s="117"/>
      <c r="E238" s="118"/>
      <c r="F238" s="82"/>
      <c r="G238" s="30"/>
      <c r="H238" s="30"/>
      <c r="I238" s="30"/>
      <c r="J238" s="30"/>
      <c r="K238" s="30"/>
    </row>
    <row r="239" spans="1:11" ht="13.2">
      <c r="A239" s="82"/>
      <c r="B239" s="82"/>
      <c r="C239" s="117"/>
      <c r="E239" s="118"/>
      <c r="F239" s="82"/>
      <c r="G239" s="30"/>
      <c r="H239" s="30"/>
      <c r="I239" s="30"/>
      <c r="J239" s="30"/>
      <c r="K239" s="30"/>
    </row>
    <row r="240" spans="1:11" ht="13.2">
      <c r="A240" s="82"/>
      <c r="B240" s="82"/>
      <c r="C240" s="117"/>
      <c r="E240" s="118"/>
      <c r="F240" s="82"/>
      <c r="G240" s="30"/>
      <c r="H240" s="30"/>
      <c r="I240" s="30"/>
      <c r="J240" s="30"/>
      <c r="K240" s="30"/>
    </row>
    <row r="241" spans="1:11" ht="13.2">
      <c r="A241" s="82"/>
      <c r="B241" s="82"/>
      <c r="C241" s="117"/>
      <c r="E241" s="118"/>
      <c r="F241" s="82"/>
      <c r="G241" s="30"/>
      <c r="H241" s="30"/>
      <c r="I241" s="30"/>
      <c r="J241" s="30"/>
      <c r="K241" s="30"/>
    </row>
    <row r="242" spans="1:11" ht="13.2">
      <c r="A242" s="82"/>
      <c r="B242" s="82"/>
      <c r="C242" s="117"/>
      <c r="E242" s="118"/>
      <c r="F242" s="82"/>
      <c r="G242" s="30"/>
      <c r="H242" s="30"/>
      <c r="I242" s="30"/>
      <c r="J242" s="30"/>
      <c r="K242" s="30"/>
    </row>
    <row r="243" spans="1:11" ht="13.2">
      <c r="A243" s="82"/>
      <c r="B243" s="82"/>
      <c r="C243" s="117"/>
      <c r="E243" s="118"/>
      <c r="F243" s="82"/>
      <c r="G243" s="30"/>
      <c r="H243" s="30"/>
      <c r="I243" s="30"/>
      <c r="J243" s="30"/>
      <c r="K243" s="30"/>
    </row>
    <row r="244" spans="1:11" ht="13.2">
      <c r="A244" s="82"/>
      <c r="B244" s="82"/>
      <c r="C244" s="117"/>
      <c r="E244" s="118"/>
      <c r="F244" s="82"/>
      <c r="G244" s="30"/>
      <c r="H244" s="30"/>
      <c r="I244" s="30"/>
      <c r="J244" s="30"/>
      <c r="K244" s="30"/>
    </row>
    <row r="245" spans="1:11" ht="13.2">
      <c r="A245" s="82"/>
      <c r="B245" s="82"/>
      <c r="C245" s="117"/>
      <c r="E245" s="118"/>
      <c r="F245" s="82"/>
      <c r="G245" s="30"/>
      <c r="H245" s="30"/>
      <c r="I245" s="30"/>
      <c r="J245" s="30"/>
      <c r="K245" s="30"/>
    </row>
    <row r="246" spans="1:11" ht="13.2">
      <c r="A246" s="82"/>
      <c r="B246" s="82"/>
      <c r="C246" s="117"/>
      <c r="E246" s="118"/>
      <c r="F246" s="82"/>
      <c r="G246" s="30"/>
      <c r="H246" s="30"/>
      <c r="I246" s="30"/>
      <c r="J246" s="30"/>
      <c r="K246" s="30"/>
    </row>
    <row r="247" spans="1:11" ht="13.2">
      <c r="A247" s="82"/>
      <c r="B247" s="82"/>
      <c r="C247" s="117"/>
      <c r="E247" s="118"/>
      <c r="F247" s="82"/>
      <c r="G247" s="30"/>
      <c r="H247" s="30"/>
      <c r="I247" s="30"/>
      <c r="J247" s="30"/>
      <c r="K247" s="30"/>
    </row>
    <row r="248" spans="1:11" ht="13.2">
      <c r="A248" s="82"/>
      <c r="B248" s="82"/>
      <c r="C248" s="117"/>
      <c r="E248" s="118"/>
      <c r="F248" s="82"/>
      <c r="G248" s="30"/>
      <c r="H248" s="30"/>
      <c r="I248" s="30"/>
      <c r="J248" s="30"/>
      <c r="K248" s="30"/>
    </row>
    <row r="249" spans="1:11" ht="13.2">
      <c r="A249" s="82"/>
      <c r="B249" s="82"/>
      <c r="C249" s="117"/>
      <c r="E249" s="118"/>
      <c r="F249" s="82"/>
      <c r="G249" s="30"/>
      <c r="H249" s="30"/>
      <c r="I249" s="30"/>
      <c r="J249" s="30"/>
      <c r="K249" s="30"/>
    </row>
    <row r="250" spans="1:11" ht="13.2">
      <c r="A250" s="82"/>
      <c r="B250" s="82"/>
      <c r="C250" s="117"/>
      <c r="E250" s="118"/>
      <c r="F250" s="82"/>
      <c r="G250" s="30"/>
      <c r="H250" s="30"/>
      <c r="I250" s="30"/>
      <c r="J250" s="30"/>
      <c r="K250" s="30"/>
    </row>
    <row r="251" spans="1:11" ht="13.2">
      <c r="A251" s="82"/>
      <c r="B251" s="82"/>
      <c r="C251" s="117"/>
      <c r="E251" s="118"/>
      <c r="F251" s="82"/>
      <c r="G251" s="30"/>
      <c r="H251" s="30"/>
      <c r="I251" s="30"/>
      <c r="J251" s="30"/>
      <c r="K251" s="30"/>
    </row>
    <row r="252" spans="1:11" ht="13.2">
      <c r="A252" s="82"/>
      <c r="B252" s="82"/>
      <c r="C252" s="117"/>
      <c r="E252" s="118"/>
      <c r="F252" s="82"/>
      <c r="G252" s="30"/>
      <c r="H252" s="30"/>
      <c r="I252" s="30"/>
      <c r="J252" s="30"/>
      <c r="K252" s="30"/>
    </row>
    <row r="253" spans="1:11" ht="13.2">
      <c r="A253" s="82"/>
      <c r="B253" s="82"/>
      <c r="C253" s="117"/>
      <c r="E253" s="118"/>
      <c r="F253" s="82"/>
      <c r="G253" s="30"/>
      <c r="H253" s="30"/>
      <c r="I253" s="30"/>
      <c r="J253" s="30"/>
      <c r="K253" s="30"/>
    </row>
    <row r="254" spans="1:11" ht="13.2">
      <c r="A254" s="82"/>
      <c r="B254" s="82"/>
      <c r="C254" s="117"/>
      <c r="E254" s="118"/>
      <c r="F254" s="82"/>
      <c r="G254" s="30"/>
      <c r="H254" s="30"/>
      <c r="I254" s="30"/>
      <c r="J254" s="30"/>
      <c r="K254" s="30"/>
    </row>
    <row r="255" spans="1:11" ht="13.2">
      <c r="A255" s="82"/>
      <c r="B255" s="82"/>
      <c r="C255" s="117"/>
      <c r="E255" s="118"/>
      <c r="F255" s="82"/>
      <c r="G255" s="30"/>
      <c r="H255" s="30"/>
      <c r="I255" s="30"/>
      <c r="J255" s="30"/>
      <c r="K255" s="30"/>
    </row>
    <row r="256" spans="1:11" ht="13.2">
      <c r="A256" s="82"/>
      <c r="B256" s="82"/>
      <c r="C256" s="117"/>
      <c r="E256" s="118"/>
      <c r="F256" s="82"/>
      <c r="G256" s="30"/>
      <c r="H256" s="30"/>
      <c r="I256" s="30"/>
      <c r="J256" s="30"/>
      <c r="K256" s="30"/>
    </row>
    <row r="257" spans="1:11" ht="13.2">
      <c r="A257" s="82"/>
      <c r="B257" s="82"/>
      <c r="C257" s="117"/>
      <c r="E257" s="118"/>
      <c r="F257" s="82"/>
      <c r="G257" s="30"/>
      <c r="H257" s="30"/>
      <c r="I257" s="30"/>
      <c r="J257" s="30"/>
      <c r="K257" s="30"/>
    </row>
    <row r="258" spans="1:11" ht="13.2">
      <c r="A258" s="82"/>
      <c r="B258" s="82"/>
      <c r="C258" s="117"/>
      <c r="E258" s="118"/>
      <c r="F258" s="82"/>
      <c r="G258" s="30"/>
      <c r="H258" s="30"/>
      <c r="I258" s="30"/>
      <c r="J258" s="30"/>
      <c r="K258" s="30"/>
    </row>
    <row r="259" spans="1:11" ht="13.2">
      <c r="A259" s="82"/>
      <c r="B259" s="82"/>
      <c r="C259" s="117"/>
      <c r="E259" s="118"/>
      <c r="F259" s="82"/>
      <c r="G259" s="30"/>
      <c r="H259" s="30"/>
      <c r="I259" s="30"/>
      <c r="J259" s="30"/>
      <c r="K259" s="30"/>
    </row>
    <row r="260" spans="1:11" ht="13.2">
      <c r="A260" s="82"/>
      <c r="B260" s="82"/>
      <c r="C260" s="117"/>
      <c r="E260" s="118"/>
      <c r="F260" s="82"/>
      <c r="G260" s="30"/>
      <c r="H260" s="30"/>
      <c r="I260" s="30"/>
      <c r="J260" s="30"/>
      <c r="K260" s="30"/>
    </row>
    <row r="261" spans="1:11" ht="13.2">
      <c r="A261" s="82"/>
      <c r="B261" s="82"/>
      <c r="C261" s="117"/>
      <c r="E261" s="118"/>
      <c r="F261" s="82"/>
      <c r="G261" s="30"/>
      <c r="H261" s="30"/>
      <c r="I261" s="30"/>
      <c r="J261" s="30"/>
      <c r="K261" s="30"/>
    </row>
    <row r="262" spans="1:11" ht="13.2">
      <c r="A262" s="82"/>
      <c r="B262" s="82"/>
      <c r="C262" s="117"/>
      <c r="E262" s="118"/>
      <c r="F262" s="82"/>
      <c r="G262" s="30"/>
      <c r="H262" s="30"/>
      <c r="I262" s="30"/>
      <c r="J262" s="30"/>
      <c r="K262" s="30"/>
    </row>
    <row r="263" spans="1:11" ht="13.2">
      <c r="A263" s="82"/>
      <c r="B263" s="82"/>
      <c r="C263" s="117"/>
      <c r="E263" s="118"/>
      <c r="F263" s="82"/>
      <c r="G263" s="30"/>
      <c r="H263" s="30"/>
      <c r="I263" s="30"/>
      <c r="J263" s="30"/>
      <c r="K263" s="30"/>
    </row>
    <row r="264" spans="1:11" ht="13.2">
      <c r="A264" s="82"/>
      <c r="B264" s="82"/>
      <c r="C264" s="117"/>
      <c r="E264" s="118"/>
      <c r="F264" s="82"/>
      <c r="G264" s="30"/>
      <c r="H264" s="30"/>
      <c r="I264" s="30"/>
      <c r="J264" s="30"/>
      <c r="K264" s="30"/>
    </row>
    <row r="265" spans="1:11" ht="13.2">
      <c r="A265" s="82"/>
      <c r="B265" s="82"/>
      <c r="C265" s="117"/>
      <c r="E265" s="118"/>
      <c r="F265" s="82"/>
      <c r="G265" s="30"/>
      <c r="H265" s="30"/>
      <c r="I265" s="30"/>
      <c r="J265" s="30"/>
      <c r="K265" s="30"/>
    </row>
    <row r="266" spans="1:11" ht="13.2">
      <c r="A266" s="82"/>
      <c r="B266" s="82"/>
      <c r="C266" s="117"/>
      <c r="E266" s="118"/>
      <c r="F266" s="82"/>
      <c r="G266" s="30"/>
      <c r="H266" s="30"/>
      <c r="I266" s="30"/>
      <c r="J266" s="30"/>
      <c r="K266" s="30"/>
    </row>
    <row r="267" spans="1:11" ht="13.2">
      <c r="A267" s="82"/>
      <c r="B267" s="82"/>
      <c r="C267" s="117"/>
      <c r="E267" s="118"/>
      <c r="F267" s="82"/>
      <c r="G267" s="30"/>
      <c r="H267" s="30"/>
      <c r="I267" s="30"/>
      <c r="J267" s="30"/>
      <c r="K267" s="30"/>
    </row>
    <row r="268" spans="1:11" ht="13.2">
      <c r="A268" s="82"/>
      <c r="B268" s="82"/>
      <c r="C268" s="117"/>
      <c r="E268" s="118"/>
      <c r="F268" s="82"/>
      <c r="G268" s="30"/>
      <c r="H268" s="30"/>
      <c r="I268" s="30"/>
      <c r="J268" s="30"/>
      <c r="K268" s="30"/>
    </row>
    <row r="269" spans="1:11" ht="13.2">
      <c r="A269" s="82"/>
      <c r="B269" s="82"/>
      <c r="C269" s="117"/>
      <c r="E269" s="118"/>
      <c r="F269" s="82"/>
      <c r="G269" s="30"/>
      <c r="H269" s="30"/>
      <c r="I269" s="30"/>
      <c r="J269" s="30"/>
      <c r="K269" s="30"/>
    </row>
    <row r="270" spans="1:11" ht="13.2">
      <c r="A270" s="82"/>
      <c r="B270" s="82"/>
      <c r="C270" s="117"/>
      <c r="E270" s="118"/>
      <c r="F270" s="82"/>
      <c r="G270" s="30"/>
      <c r="H270" s="30"/>
      <c r="I270" s="30"/>
      <c r="J270" s="30"/>
      <c r="K270" s="30"/>
    </row>
    <row r="271" spans="1:11" ht="13.2">
      <c r="A271" s="82"/>
      <c r="B271" s="82"/>
      <c r="C271" s="117"/>
      <c r="E271" s="118"/>
      <c r="F271" s="82"/>
      <c r="G271" s="30"/>
      <c r="H271" s="30"/>
      <c r="I271" s="30"/>
      <c r="J271" s="30"/>
      <c r="K271" s="30"/>
    </row>
    <row r="272" spans="1:11" ht="13.2">
      <c r="A272" s="82"/>
      <c r="B272" s="82"/>
      <c r="C272" s="117"/>
      <c r="E272" s="118"/>
      <c r="F272" s="82"/>
      <c r="G272" s="30"/>
      <c r="H272" s="30"/>
      <c r="I272" s="30"/>
      <c r="J272" s="30"/>
      <c r="K272" s="30"/>
    </row>
    <row r="273" spans="1:11" ht="13.2">
      <c r="A273" s="82"/>
      <c r="B273" s="82"/>
      <c r="C273" s="117"/>
      <c r="E273" s="118"/>
      <c r="F273" s="82"/>
      <c r="G273" s="30"/>
      <c r="H273" s="30"/>
      <c r="I273" s="30"/>
      <c r="J273" s="30"/>
      <c r="K273" s="30"/>
    </row>
    <row r="274" spans="1:11" ht="13.2">
      <c r="A274" s="82"/>
      <c r="B274" s="82"/>
      <c r="C274" s="117"/>
      <c r="E274" s="118"/>
      <c r="F274" s="82"/>
      <c r="G274" s="30"/>
      <c r="H274" s="30"/>
      <c r="I274" s="30"/>
      <c r="J274" s="30"/>
      <c r="K274" s="30"/>
    </row>
    <row r="275" spans="1:11" ht="13.2">
      <c r="A275" s="82"/>
      <c r="B275" s="82"/>
      <c r="C275" s="117"/>
      <c r="E275" s="118"/>
      <c r="F275" s="82"/>
      <c r="G275" s="30"/>
      <c r="H275" s="30"/>
      <c r="I275" s="30"/>
      <c r="J275" s="30"/>
      <c r="K275" s="30"/>
    </row>
    <row r="276" spans="1:11" ht="13.2">
      <c r="A276" s="82"/>
      <c r="B276" s="82"/>
      <c r="C276" s="117"/>
      <c r="E276" s="118"/>
      <c r="F276" s="82"/>
      <c r="G276" s="30"/>
      <c r="H276" s="30"/>
      <c r="I276" s="30"/>
      <c r="J276" s="30"/>
      <c r="K276" s="30"/>
    </row>
    <row r="277" spans="1:11" ht="13.2">
      <c r="A277" s="82"/>
      <c r="B277" s="82"/>
      <c r="C277" s="117"/>
      <c r="E277" s="118"/>
      <c r="F277" s="82"/>
      <c r="G277" s="30"/>
      <c r="H277" s="30"/>
      <c r="I277" s="30"/>
      <c r="J277" s="30"/>
      <c r="K277" s="30"/>
    </row>
    <row r="278" spans="1:11" ht="13.2">
      <c r="A278" s="82"/>
      <c r="B278" s="82"/>
      <c r="C278" s="117"/>
      <c r="E278" s="118"/>
      <c r="F278" s="82"/>
      <c r="G278" s="30"/>
      <c r="H278" s="30"/>
      <c r="I278" s="30"/>
      <c r="J278" s="30"/>
      <c r="K278" s="30"/>
    </row>
    <row r="279" spans="1:11" ht="13.2">
      <c r="A279" s="82"/>
      <c r="B279" s="82"/>
      <c r="C279" s="117"/>
      <c r="E279" s="118"/>
      <c r="F279" s="82"/>
      <c r="G279" s="30"/>
      <c r="H279" s="30"/>
      <c r="I279" s="30"/>
      <c r="J279" s="30"/>
      <c r="K279" s="30"/>
    </row>
    <row r="280" spans="1:11" ht="13.2">
      <c r="A280" s="82"/>
      <c r="B280" s="82"/>
      <c r="C280" s="117"/>
      <c r="E280" s="118"/>
      <c r="F280" s="82"/>
      <c r="G280" s="30"/>
      <c r="H280" s="30"/>
      <c r="I280" s="30"/>
      <c r="J280" s="30"/>
      <c r="K280" s="30"/>
    </row>
    <row r="281" spans="1:11" ht="13.2">
      <c r="A281" s="82"/>
      <c r="B281" s="82"/>
      <c r="C281" s="117"/>
      <c r="E281" s="118"/>
      <c r="F281" s="82"/>
      <c r="G281" s="30"/>
      <c r="H281" s="30"/>
      <c r="I281" s="30"/>
      <c r="J281" s="30"/>
      <c r="K281" s="30"/>
    </row>
    <row r="282" spans="1:11" ht="13.2">
      <c r="A282" s="82"/>
      <c r="B282" s="82"/>
      <c r="C282" s="117"/>
      <c r="E282" s="118"/>
      <c r="F282" s="82"/>
      <c r="G282" s="30"/>
      <c r="H282" s="30"/>
      <c r="I282" s="30"/>
      <c r="J282" s="30"/>
      <c r="K282" s="30"/>
    </row>
    <row r="283" spans="1:11" ht="13.2">
      <c r="A283" s="82"/>
      <c r="B283" s="82"/>
      <c r="C283" s="117"/>
      <c r="E283" s="118"/>
      <c r="F283" s="82"/>
      <c r="G283" s="30"/>
      <c r="H283" s="30"/>
      <c r="I283" s="30"/>
      <c r="J283" s="30"/>
      <c r="K283" s="30"/>
    </row>
    <row r="284" spans="1:11" ht="13.2">
      <c r="A284" s="82"/>
      <c r="B284" s="82"/>
      <c r="C284" s="117"/>
      <c r="E284" s="118"/>
      <c r="F284" s="82"/>
      <c r="G284" s="30"/>
      <c r="H284" s="30"/>
      <c r="I284" s="30"/>
      <c r="J284" s="30"/>
      <c r="K284" s="30"/>
    </row>
    <row r="285" spans="1:11" ht="13.2">
      <c r="A285" s="82"/>
      <c r="B285" s="82"/>
      <c r="C285" s="117"/>
      <c r="E285" s="118"/>
      <c r="F285" s="82"/>
      <c r="G285" s="30"/>
      <c r="H285" s="30"/>
      <c r="I285" s="30"/>
      <c r="J285" s="30"/>
      <c r="K285" s="30"/>
    </row>
    <row r="286" spans="1:11" ht="13.2">
      <c r="A286" s="82"/>
      <c r="B286" s="82"/>
      <c r="C286" s="117"/>
      <c r="E286" s="118"/>
      <c r="F286" s="82"/>
      <c r="G286" s="30"/>
      <c r="H286" s="30"/>
      <c r="I286" s="30"/>
      <c r="J286" s="30"/>
      <c r="K286" s="30"/>
    </row>
    <row r="287" spans="1:11" ht="13.2">
      <c r="A287" s="82"/>
      <c r="B287" s="82"/>
      <c r="C287" s="117"/>
      <c r="E287" s="118"/>
      <c r="F287" s="82"/>
      <c r="G287" s="30"/>
      <c r="H287" s="30"/>
      <c r="I287" s="30"/>
      <c r="J287" s="30"/>
      <c r="K287" s="30"/>
    </row>
    <row r="288" spans="1:11" ht="13.2">
      <c r="A288" s="82"/>
      <c r="B288" s="82"/>
      <c r="C288" s="117"/>
      <c r="E288" s="118"/>
      <c r="F288" s="82"/>
      <c r="G288" s="30"/>
      <c r="H288" s="30"/>
      <c r="I288" s="30"/>
      <c r="J288" s="30"/>
      <c r="K288" s="30"/>
    </row>
    <row r="289" spans="1:11" ht="13.2">
      <c r="A289" s="82"/>
      <c r="B289" s="82"/>
      <c r="C289" s="117"/>
      <c r="E289" s="118"/>
      <c r="F289" s="82"/>
      <c r="G289" s="30"/>
      <c r="H289" s="30"/>
      <c r="I289" s="30"/>
      <c r="J289" s="30"/>
      <c r="K289" s="30"/>
    </row>
    <row r="290" spans="1:11" ht="13.2">
      <c r="A290" s="82"/>
      <c r="B290" s="82"/>
      <c r="C290" s="117"/>
      <c r="E290" s="118"/>
      <c r="F290" s="82"/>
      <c r="G290" s="30"/>
      <c r="H290" s="30"/>
      <c r="I290" s="30"/>
      <c r="J290" s="30"/>
      <c r="K290" s="30"/>
    </row>
    <row r="291" spans="1:11" ht="13.2">
      <c r="A291" s="82"/>
      <c r="B291" s="82"/>
      <c r="C291" s="117"/>
      <c r="E291" s="118"/>
      <c r="F291" s="82"/>
      <c r="G291" s="30"/>
      <c r="H291" s="30"/>
      <c r="I291" s="30"/>
      <c r="J291" s="30"/>
      <c r="K291" s="30"/>
    </row>
    <row r="292" spans="1:11" ht="13.2">
      <c r="A292" s="82"/>
      <c r="B292" s="82"/>
      <c r="C292" s="117"/>
      <c r="E292" s="118"/>
      <c r="F292" s="82"/>
      <c r="G292" s="30"/>
      <c r="H292" s="30"/>
      <c r="I292" s="30"/>
      <c r="J292" s="30"/>
      <c r="K292" s="30"/>
    </row>
    <row r="293" spans="1:11" ht="13.2">
      <c r="A293" s="82"/>
      <c r="B293" s="82"/>
      <c r="C293" s="117"/>
      <c r="E293" s="118"/>
      <c r="F293" s="82"/>
      <c r="G293" s="30"/>
      <c r="H293" s="30"/>
      <c r="I293" s="30"/>
      <c r="J293" s="30"/>
      <c r="K293" s="30"/>
    </row>
    <row r="294" spans="1:11" ht="13.2">
      <c r="A294" s="82"/>
      <c r="B294" s="82"/>
      <c r="C294" s="117"/>
      <c r="E294" s="118"/>
      <c r="F294" s="82"/>
      <c r="G294" s="30"/>
      <c r="H294" s="30"/>
      <c r="I294" s="30"/>
      <c r="J294" s="30"/>
      <c r="K294" s="30"/>
    </row>
    <row r="295" spans="1:11" ht="13.2">
      <c r="A295" s="82"/>
      <c r="B295" s="82"/>
      <c r="C295" s="117"/>
      <c r="E295" s="118"/>
      <c r="F295" s="82"/>
      <c r="G295" s="30"/>
      <c r="H295" s="30"/>
      <c r="I295" s="30"/>
      <c r="J295" s="30"/>
      <c r="K295" s="30"/>
    </row>
    <row r="296" spans="1:11" ht="13.2">
      <c r="A296" s="82"/>
      <c r="B296" s="82"/>
      <c r="C296" s="117"/>
      <c r="E296" s="118"/>
      <c r="F296" s="82"/>
      <c r="G296" s="30"/>
      <c r="H296" s="30"/>
      <c r="I296" s="30"/>
      <c r="J296" s="30"/>
      <c r="K296" s="30"/>
    </row>
    <row r="297" spans="1:11" ht="13.2">
      <c r="A297" s="82"/>
      <c r="B297" s="82"/>
      <c r="C297" s="117"/>
      <c r="E297" s="118"/>
      <c r="F297" s="82"/>
      <c r="G297" s="30"/>
      <c r="H297" s="30"/>
      <c r="I297" s="30"/>
      <c r="J297" s="30"/>
      <c r="K297" s="30"/>
    </row>
    <row r="298" spans="1:11" ht="13.2">
      <c r="A298" s="82"/>
      <c r="B298" s="82"/>
      <c r="C298" s="117"/>
      <c r="E298" s="118"/>
      <c r="F298" s="82"/>
      <c r="G298" s="30"/>
      <c r="H298" s="30"/>
      <c r="I298" s="30"/>
      <c r="J298" s="30"/>
      <c r="K298" s="30"/>
    </row>
    <row r="299" spans="1:11" ht="13.2">
      <c r="A299" s="82"/>
      <c r="B299" s="82"/>
      <c r="C299" s="117"/>
      <c r="E299" s="118"/>
      <c r="F299" s="82"/>
      <c r="G299" s="30"/>
      <c r="H299" s="30"/>
      <c r="I299" s="30"/>
      <c r="J299" s="30"/>
      <c r="K299" s="30"/>
    </row>
    <row r="300" spans="1:11" ht="13.2">
      <c r="A300" s="82"/>
      <c r="B300" s="82"/>
      <c r="C300" s="117"/>
      <c r="E300" s="118"/>
      <c r="F300" s="82"/>
      <c r="G300" s="30"/>
      <c r="H300" s="30"/>
      <c r="I300" s="30"/>
      <c r="J300" s="30"/>
      <c r="K300" s="30"/>
    </row>
    <row r="301" spans="1:11" ht="13.2">
      <c r="A301" s="82"/>
      <c r="B301" s="82"/>
      <c r="C301" s="117"/>
      <c r="E301" s="118"/>
      <c r="F301" s="82"/>
      <c r="G301" s="30"/>
      <c r="H301" s="30"/>
      <c r="I301" s="30"/>
      <c r="J301" s="30"/>
      <c r="K301" s="30"/>
    </row>
    <row r="302" spans="1:11" ht="13.2">
      <c r="A302" s="82"/>
      <c r="B302" s="82"/>
      <c r="C302" s="117"/>
      <c r="E302" s="118"/>
      <c r="F302" s="82"/>
      <c r="G302" s="30"/>
      <c r="H302" s="30"/>
      <c r="I302" s="30"/>
      <c r="J302" s="30"/>
      <c r="K302" s="30"/>
    </row>
    <row r="303" spans="1:11" ht="13.2">
      <c r="A303" s="82"/>
      <c r="B303" s="82"/>
      <c r="C303" s="117"/>
      <c r="E303" s="118"/>
      <c r="F303" s="82"/>
      <c r="G303" s="30"/>
      <c r="H303" s="30"/>
      <c r="I303" s="30"/>
      <c r="J303" s="30"/>
      <c r="K303" s="30"/>
    </row>
    <row r="304" spans="1:11" ht="13.2">
      <c r="A304" s="82"/>
      <c r="B304" s="82"/>
      <c r="C304" s="117"/>
      <c r="E304" s="118"/>
      <c r="F304" s="82"/>
      <c r="G304" s="30"/>
      <c r="H304" s="30"/>
      <c r="I304" s="30"/>
      <c r="J304" s="30"/>
      <c r="K304" s="30"/>
    </row>
    <row r="305" spans="1:11" ht="13.2">
      <c r="A305" s="82"/>
      <c r="B305" s="82"/>
      <c r="C305" s="117"/>
      <c r="E305" s="118"/>
      <c r="F305" s="82"/>
      <c r="G305" s="30"/>
      <c r="H305" s="30"/>
      <c r="I305" s="30"/>
      <c r="J305" s="30"/>
      <c r="K305" s="30"/>
    </row>
    <row r="306" spans="1:11" ht="13.2">
      <c r="A306" s="82"/>
      <c r="B306" s="82"/>
      <c r="C306" s="117"/>
      <c r="E306" s="118"/>
      <c r="F306" s="82"/>
      <c r="G306" s="30"/>
      <c r="H306" s="30"/>
      <c r="I306" s="30"/>
      <c r="J306" s="30"/>
      <c r="K306" s="30"/>
    </row>
    <row r="307" spans="1:11" ht="13.2">
      <c r="A307" s="82"/>
      <c r="B307" s="82"/>
      <c r="C307" s="117"/>
      <c r="E307" s="118"/>
      <c r="F307" s="82"/>
      <c r="G307" s="30"/>
      <c r="H307" s="30"/>
      <c r="I307" s="30"/>
      <c r="J307" s="30"/>
      <c r="K307" s="30"/>
    </row>
    <row r="308" spans="1:11" ht="13.2">
      <c r="A308" s="82"/>
      <c r="B308" s="82"/>
      <c r="C308" s="117"/>
      <c r="E308" s="118"/>
      <c r="F308" s="82"/>
      <c r="G308" s="30"/>
      <c r="H308" s="30"/>
      <c r="I308" s="30"/>
      <c r="J308" s="30"/>
      <c r="K308" s="30"/>
    </row>
    <row r="309" spans="1:11" ht="13.2">
      <c r="A309" s="82"/>
      <c r="B309" s="82"/>
      <c r="C309" s="117"/>
      <c r="E309" s="118"/>
      <c r="F309" s="82"/>
      <c r="G309" s="30"/>
      <c r="H309" s="30"/>
      <c r="I309" s="30"/>
      <c r="J309" s="30"/>
      <c r="K309" s="30"/>
    </row>
    <row r="310" spans="1:11" ht="13.2">
      <c r="A310" s="82"/>
      <c r="B310" s="82"/>
      <c r="C310" s="117"/>
      <c r="E310" s="118"/>
      <c r="F310" s="82"/>
      <c r="G310" s="30"/>
      <c r="H310" s="30"/>
      <c r="I310" s="30"/>
      <c r="J310" s="30"/>
      <c r="K310" s="30"/>
    </row>
    <row r="311" spans="1:11" ht="13.2">
      <c r="A311" s="82"/>
      <c r="B311" s="82"/>
      <c r="C311" s="117"/>
      <c r="E311" s="118"/>
      <c r="F311" s="82"/>
      <c r="G311" s="30"/>
      <c r="H311" s="30"/>
      <c r="I311" s="30"/>
      <c r="J311" s="30"/>
      <c r="K311" s="30"/>
    </row>
    <row r="312" spans="1:11" ht="13.2">
      <c r="A312" s="82"/>
      <c r="B312" s="82"/>
      <c r="C312" s="117"/>
      <c r="E312" s="118"/>
      <c r="F312" s="82"/>
      <c r="G312" s="30"/>
      <c r="H312" s="30"/>
      <c r="I312" s="30"/>
      <c r="J312" s="30"/>
      <c r="K312" s="30"/>
    </row>
    <row r="313" spans="1:11" ht="13.2">
      <c r="A313" s="82"/>
      <c r="B313" s="82"/>
      <c r="C313" s="117"/>
      <c r="E313" s="118"/>
      <c r="F313" s="82"/>
      <c r="G313" s="30"/>
      <c r="H313" s="30"/>
      <c r="I313" s="30"/>
      <c r="J313" s="30"/>
      <c r="K313" s="30"/>
    </row>
    <row r="314" spans="1:11" ht="13.2">
      <c r="A314" s="82"/>
      <c r="B314" s="82"/>
      <c r="C314" s="117"/>
      <c r="E314" s="118"/>
      <c r="F314" s="82"/>
      <c r="G314" s="30"/>
      <c r="H314" s="30"/>
      <c r="I314" s="30"/>
      <c r="J314" s="30"/>
      <c r="K314" s="30"/>
    </row>
    <row r="315" spans="1:11" ht="13.2">
      <c r="A315" s="82"/>
      <c r="B315" s="82"/>
      <c r="C315" s="117"/>
      <c r="E315" s="118"/>
      <c r="F315" s="82"/>
      <c r="G315" s="30"/>
      <c r="H315" s="30"/>
      <c r="I315" s="30"/>
      <c r="J315" s="30"/>
      <c r="K315" s="30"/>
    </row>
    <row r="316" spans="1:11" ht="13.2">
      <c r="A316" s="82"/>
      <c r="B316" s="82"/>
      <c r="C316" s="117"/>
      <c r="E316" s="118"/>
      <c r="F316" s="82"/>
      <c r="G316" s="30"/>
      <c r="H316" s="30"/>
      <c r="I316" s="30"/>
      <c r="J316" s="30"/>
      <c r="K316" s="30"/>
    </row>
    <row r="317" spans="1:11" ht="13.2">
      <c r="A317" s="82"/>
      <c r="B317" s="82"/>
      <c r="C317" s="117"/>
      <c r="E317" s="118"/>
      <c r="F317" s="82"/>
      <c r="G317" s="30"/>
      <c r="H317" s="30"/>
      <c r="I317" s="30"/>
      <c r="J317" s="30"/>
      <c r="K317" s="30"/>
    </row>
    <row r="318" spans="1:11" ht="13.2">
      <c r="A318" s="82"/>
      <c r="B318" s="82"/>
      <c r="C318" s="117"/>
      <c r="E318" s="118"/>
      <c r="F318" s="82"/>
      <c r="G318" s="30"/>
      <c r="H318" s="30"/>
      <c r="I318" s="30"/>
      <c r="J318" s="30"/>
      <c r="K318" s="30"/>
    </row>
    <row r="319" spans="1:11" ht="13.2">
      <c r="A319" s="82"/>
      <c r="B319" s="82"/>
      <c r="C319" s="117"/>
      <c r="E319" s="118"/>
      <c r="F319" s="82"/>
      <c r="G319" s="30"/>
      <c r="H319" s="30"/>
      <c r="I319" s="30"/>
      <c r="J319" s="30"/>
      <c r="K319" s="30"/>
    </row>
    <row r="320" spans="1:11" ht="13.2">
      <c r="A320" s="82"/>
      <c r="B320" s="82"/>
      <c r="C320" s="117"/>
      <c r="E320" s="118"/>
      <c r="F320" s="82"/>
      <c r="G320" s="30"/>
      <c r="H320" s="30"/>
      <c r="I320" s="30"/>
      <c r="J320" s="30"/>
      <c r="K320" s="30"/>
    </row>
    <row r="321" spans="1:11" ht="13.2">
      <c r="A321" s="82"/>
      <c r="B321" s="82"/>
      <c r="C321" s="117"/>
      <c r="E321" s="118"/>
      <c r="F321" s="82"/>
      <c r="G321" s="30"/>
      <c r="H321" s="30"/>
      <c r="I321" s="30"/>
      <c r="J321" s="30"/>
      <c r="K321" s="30"/>
    </row>
    <row r="322" spans="1:11" ht="13.2">
      <c r="A322" s="82"/>
      <c r="B322" s="82"/>
      <c r="C322" s="117"/>
      <c r="E322" s="118"/>
      <c r="F322" s="82"/>
      <c r="G322" s="30"/>
      <c r="H322" s="30"/>
      <c r="I322" s="30"/>
      <c r="J322" s="30"/>
      <c r="K322" s="30"/>
    </row>
    <row r="323" spans="1:11" ht="13.2">
      <c r="A323" s="82"/>
      <c r="B323" s="82"/>
      <c r="C323" s="117"/>
      <c r="E323" s="118"/>
      <c r="F323" s="82"/>
      <c r="G323" s="30"/>
      <c r="H323" s="30"/>
      <c r="I323" s="30"/>
      <c r="J323" s="30"/>
      <c r="K323" s="30"/>
    </row>
    <row r="324" spans="1:11" ht="13.2">
      <c r="A324" s="82"/>
      <c r="B324" s="82"/>
      <c r="C324" s="117"/>
      <c r="E324" s="118"/>
      <c r="F324" s="82"/>
      <c r="G324" s="30"/>
      <c r="H324" s="30"/>
      <c r="I324" s="30"/>
      <c r="J324" s="30"/>
      <c r="K324" s="30"/>
    </row>
    <row r="325" spans="1:11" ht="13.2">
      <c r="A325" s="82"/>
      <c r="B325" s="82"/>
      <c r="C325" s="117"/>
      <c r="E325" s="118"/>
      <c r="F325" s="82"/>
      <c r="G325" s="30"/>
      <c r="H325" s="30"/>
      <c r="I325" s="30"/>
      <c r="J325" s="30"/>
      <c r="K325" s="30"/>
    </row>
    <row r="326" spans="1:11" ht="13.2">
      <c r="A326" s="82"/>
      <c r="B326" s="82"/>
      <c r="C326" s="117"/>
      <c r="E326" s="118"/>
      <c r="F326" s="82"/>
      <c r="G326" s="30"/>
      <c r="H326" s="30"/>
      <c r="I326" s="30"/>
      <c r="J326" s="30"/>
      <c r="K326" s="30"/>
    </row>
    <row r="327" spans="1:11" ht="13.2">
      <c r="A327" s="82"/>
      <c r="B327" s="82"/>
      <c r="C327" s="117"/>
      <c r="E327" s="118"/>
      <c r="F327" s="82"/>
      <c r="G327" s="30"/>
      <c r="H327" s="30"/>
      <c r="I327" s="30"/>
      <c r="J327" s="30"/>
      <c r="K327" s="30"/>
    </row>
    <row r="328" spans="1:11" ht="13.2">
      <c r="A328" s="82"/>
      <c r="B328" s="82"/>
      <c r="C328" s="117"/>
      <c r="E328" s="118"/>
      <c r="F328" s="82"/>
      <c r="G328" s="30"/>
      <c r="H328" s="30"/>
      <c r="I328" s="30"/>
      <c r="J328" s="30"/>
      <c r="K328" s="30"/>
    </row>
    <row r="329" spans="1:11" ht="13.2">
      <c r="A329" s="82"/>
      <c r="B329" s="82"/>
      <c r="C329" s="117"/>
      <c r="E329" s="118"/>
      <c r="F329" s="82"/>
      <c r="G329" s="30"/>
      <c r="H329" s="30"/>
      <c r="I329" s="30"/>
      <c r="J329" s="30"/>
      <c r="K329" s="30"/>
    </row>
    <row r="330" spans="1:11" ht="13.2">
      <c r="A330" s="82"/>
      <c r="B330" s="82"/>
      <c r="C330" s="117"/>
      <c r="E330" s="118"/>
      <c r="F330" s="82"/>
      <c r="G330" s="30"/>
      <c r="H330" s="30"/>
      <c r="I330" s="30"/>
      <c r="J330" s="30"/>
      <c r="K330" s="30"/>
    </row>
    <row r="331" spans="1:11" ht="13.2">
      <c r="A331" s="82"/>
      <c r="B331" s="82"/>
      <c r="C331" s="117"/>
      <c r="E331" s="118"/>
      <c r="F331" s="82"/>
      <c r="G331" s="30"/>
      <c r="H331" s="30"/>
      <c r="I331" s="30"/>
      <c r="J331" s="30"/>
      <c r="K331" s="30"/>
    </row>
    <row r="332" spans="1:11" ht="13.2">
      <c r="A332" s="82"/>
      <c r="B332" s="82"/>
      <c r="C332" s="117"/>
      <c r="E332" s="118"/>
      <c r="F332" s="82"/>
      <c r="G332" s="30"/>
      <c r="H332" s="30"/>
      <c r="I332" s="30"/>
      <c r="J332" s="30"/>
      <c r="K332" s="30"/>
    </row>
    <row r="333" spans="1:11" ht="13.2">
      <c r="A333" s="82"/>
      <c r="B333" s="82"/>
      <c r="C333" s="117"/>
      <c r="E333" s="118"/>
      <c r="F333" s="82"/>
      <c r="G333" s="30"/>
      <c r="H333" s="30"/>
      <c r="I333" s="30"/>
      <c r="J333" s="30"/>
      <c r="K333" s="30"/>
    </row>
    <row r="334" spans="1:11" ht="13.2">
      <c r="A334" s="82"/>
      <c r="B334" s="82"/>
      <c r="C334" s="117"/>
      <c r="E334" s="118"/>
      <c r="F334" s="82"/>
      <c r="G334" s="30"/>
      <c r="H334" s="30"/>
      <c r="I334" s="30"/>
      <c r="J334" s="30"/>
      <c r="K334" s="30"/>
    </row>
    <row r="335" spans="1:11" ht="13.2">
      <c r="A335" s="82"/>
      <c r="B335" s="82"/>
      <c r="C335" s="117"/>
      <c r="E335" s="118"/>
      <c r="F335" s="82"/>
      <c r="G335" s="30"/>
      <c r="H335" s="30"/>
      <c r="I335" s="30"/>
      <c r="J335" s="30"/>
      <c r="K335" s="30"/>
    </row>
    <row r="336" spans="1:11" ht="13.2">
      <c r="A336" s="82"/>
      <c r="B336" s="82"/>
      <c r="C336" s="117"/>
      <c r="E336" s="118"/>
      <c r="F336" s="82"/>
      <c r="G336" s="30"/>
      <c r="H336" s="30"/>
      <c r="I336" s="30"/>
      <c r="J336" s="30"/>
      <c r="K336" s="30"/>
    </row>
    <row r="337" spans="1:11" ht="13.2">
      <c r="A337" s="82"/>
      <c r="B337" s="82"/>
      <c r="C337" s="117"/>
      <c r="E337" s="118"/>
      <c r="F337" s="82"/>
      <c r="G337" s="30"/>
      <c r="H337" s="30"/>
      <c r="I337" s="30"/>
      <c r="J337" s="30"/>
      <c r="K337" s="30"/>
    </row>
    <row r="338" spans="1:11" ht="13.2">
      <c r="A338" s="82"/>
      <c r="B338" s="82"/>
      <c r="C338" s="117"/>
      <c r="E338" s="118"/>
      <c r="F338" s="82"/>
      <c r="G338" s="30"/>
      <c r="H338" s="30"/>
      <c r="I338" s="30"/>
      <c r="J338" s="30"/>
      <c r="K338" s="30"/>
    </row>
    <row r="339" spans="1:11" ht="13.2">
      <c r="A339" s="82"/>
      <c r="B339" s="82"/>
      <c r="C339" s="117"/>
      <c r="E339" s="118"/>
      <c r="F339" s="82"/>
      <c r="G339" s="30"/>
      <c r="H339" s="30"/>
      <c r="I339" s="30"/>
      <c r="J339" s="30"/>
      <c r="K339" s="30"/>
    </row>
    <row r="340" spans="1:11" ht="13.2">
      <c r="A340" s="82"/>
      <c r="B340" s="82"/>
      <c r="C340" s="117"/>
      <c r="E340" s="118"/>
      <c r="F340" s="82"/>
      <c r="G340" s="30"/>
      <c r="H340" s="30"/>
      <c r="I340" s="30"/>
      <c r="J340" s="30"/>
      <c r="K340" s="30"/>
    </row>
    <row r="341" spans="1:11" ht="13.2">
      <c r="A341" s="82"/>
      <c r="B341" s="82"/>
      <c r="C341" s="117"/>
      <c r="E341" s="118"/>
      <c r="F341" s="82"/>
      <c r="G341" s="30"/>
      <c r="H341" s="30"/>
      <c r="I341" s="30"/>
      <c r="J341" s="30"/>
      <c r="K341" s="30"/>
    </row>
    <row r="342" spans="1:11" ht="13.2">
      <c r="A342" s="82"/>
      <c r="B342" s="82"/>
      <c r="C342" s="117"/>
      <c r="E342" s="118"/>
      <c r="F342" s="82"/>
      <c r="G342" s="30"/>
      <c r="H342" s="30"/>
      <c r="I342" s="30"/>
      <c r="J342" s="30"/>
      <c r="K342" s="30"/>
    </row>
    <row r="343" spans="1:11" ht="13.2">
      <c r="A343" s="82"/>
      <c r="B343" s="82"/>
      <c r="C343" s="117"/>
      <c r="E343" s="118"/>
      <c r="F343" s="82"/>
      <c r="G343" s="30"/>
      <c r="H343" s="30"/>
      <c r="I343" s="30"/>
      <c r="J343" s="30"/>
      <c r="K343" s="30"/>
    </row>
    <row r="344" spans="1:11" ht="13.2">
      <c r="A344" s="82"/>
      <c r="B344" s="82"/>
      <c r="C344" s="117"/>
      <c r="E344" s="118"/>
      <c r="F344" s="82"/>
      <c r="G344" s="30"/>
      <c r="H344" s="30"/>
      <c r="I344" s="30"/>
      <c r="J344" s="30"/>
      <c r="K344" s="30"/>
    </row>
    <row r="345" spans="1:11" ht="13.2">
      <c r="A345" s="82"/>
      <c r="B345" s="82"/>
      <c r="C345" s="117"/>
      <c r="E345" s="118"/>
      <c r="F345" s="82"/>
      <c r="G345" s="30"/>
      <c r="H345" s="30"/>
      <c r="I345" s="30"/>
      <c r="J345" s="30"/>
      <c r="K345" s="30"/>
    </row>
    <row r="346" spans="1:11" ht="13.2">
      <c r="A346" s="82"/>
      <c r="B346" s="82"/>
      <c r="C346" s="117"/>
      <c r="E346" s="118"/>
      <c r="F346" s="82"/>
      <c r="G346" s="30"/>
      <c r="H346" s="30"/>
      <c r="I346" s="30"/>
      <c r="J346" s="30"/>
      <c r="K346" s="30"/>
    </row>
    <row r="347" spans="1:11" ht="13.2">
      <c r="A347" s="82"/>
      <c r="B347" s="82"/>
      <c r="C347" s="117"/>
      <c r="E347" s="118"/>
      <c r="F347" s="82"/>
      <c r="G347" s="30"/>
      <c r="H347" s="30"/>
      <c r="I347" s="30"/>
      <c r="J347" s="30"/>
      <c r="K347" s="30"/>
    </row>
    <row r="348" spans="1:11" ht="13.2">
      <c r="A348" s="82"/>
      <c r="B348" s="82"/>
      <c r="C348" s="117"/>
      <c r="E348" s="118"/>
      <c r="F348" s="82"/>
      <c r="G348" s="30"/>
      <c r="H348" s="30"/>
      <c r="I348" s="30"/>
      <c r="J348" s="30"/>
      <c r="K348" s="30"/>
    </row>
    <row r="349" spans="1:11" ht="13.2">
      <c r="A349" s="82"/>
      <c r="B349" s="82"/>
      <c r="C349" s="117"/>
      <c r="E349" s="118"/>
      <c r="F349" s="82"/>
      <c r="G349" s="30"/>
      <c r="H349" s="30"/>
      <c r="I349" s="30"/>
      <c r="J349" s="30"/>
      <c r="K349" s="30"/>
    </row>
    <row r="350" spans="1:11" ht="13.2">
      <c r="A350" s="82"/>
      <c r="B350" s="82"/>
      <c r="C350" s="117"/>
      <c r="E350" s="118"/>
      <c r="F350" s="82"/>
      <c r="G350" s="30"/>
      <c r="H350" s="30"/>
      <c r="I350" s="30"/>
      <c r="J350" s="30"/>
      <c r="K350" s="30"/>
    </row>
    <row r="351" spans="1:11" ht="13.2">
      <c r="A351" s="82"/>
      <c r="B351" s="82"/>
      <c r="C351" s="117"/>
      <c r="E351" s="118"/>
      <c r="F351" s="82"/>
      <c r="G351" s="30"/>
      <c r="H351" s="30"/>
      <c r="I351" s="30"/>
      <c r="J351" s="30"/>
      <c r="K351" s="30"/>
    </row>
    <row r="352" spans="1:11" ht="13.2">
      <c r="A352" s="82"/>
      <c r="B352" s="82"/>
      <c r="C352" s="117"/>
      <c r="E352" s="118"/>
      <c r="F352" s="82"/>
      <c r="G352" s="30"/>
      <c r="H352" s="30"/>
      <c r="I352" s="30"/>
      <c r="J352" s="30"/>
      <c r="K352" s="30"/>
    </row>
    <row r="353" spans="1:11" ht="13.2">
      <c r="A353" s="82"/>
      <c r="B353" s="82"/>
      <c r="C353" s="117"/>
      <c r="E353" s="118"/>
      <c r="F353" s="82"/>
      <c r="G353" s="30"/>
      <c r="H353" s="30"/>
      <c r="I353" s="30"/>
      <c r="J353" s="30"/>
      <c r="K353" s="30"/>
    </row>
    <row r="354" spans="1:11" ht="13.2">
      <c r="A354" s="82"/>
      <c r="B354" s="82"/>
      <c r="C354" s="117"/>
      <c r="E354" s="118"/>
      <c r="F354" s="82"/>
      <c r="G354" s="30"/>
      <c r="H354" s="30"/>
      <c r="I354" s="30"/>
      <c r="J354" s="30"/>
      <c r="K354" s="30"/>
    </row>
    <row r="355" spans="1:11" ht="13.2">
      <c r="A355" s="82"/>
      <c r="B355" s="82"/>
      <c r="C355" s="117"/>
      <c r="E355" s="118"/>
      <c r="F355" s="82"/>
      <c r="G355" s="30"/>
      <c r="H355" s="30"/>
      <c r="I355" s="30"/>
      <c r="J355" s="30"/>
      <c r="K355" s="30"/>
    </row>
    <row r="356" spans="1:11" ht="13.2">
      <c r="A356" s="82"/>
      <c r="B356" s="82"/>
      <c r="C356" s="117"/>
      <c r="E356" s="118"/>
      <c r="F356" s="82"/>
      <c r="G356" s="30"/>
      <c r="H356" s="30"/>
      <c r="I356" s="30"/>
      <c r="J356" s="30"/>
      <c r="K356" s="30"/>
    </row>
    <row r="357" spans="1:11" ht="13.2">
      <c r="A357" s="82"/>
      <c r="B357" s="82"/>
      <c r="C357" s="117"/>
      <c r="E357" s="118"/>
      <c r="F357" s="82"/>
      <c r="G357" s="30"/>
      <c r="H357" s="30"/>
      <c r="I357" s="30"/>
      <c r="J357" s="30"/>
      <c r="K357" s="30"/>
    </row>
    <row r="358" spans="1:11" ht="13.2">
      <c r="A358" s="82"/>
      <c r="B358" s="82"/>
      <c r="C358" s="117"/>
      <c r="E358" s="118"/>
      <c r="F358" s="82"/>
      <c r="G358" s="30"/>
      <c r="H358" s="30"/>
      <c r="I358" s="30"/>
      <c r="J358" s="30"/>
      <c r="K358" s="30"/>
    </row>
    <row r="359" spans="1:11" ht="13.2">
      <c r="A359" s="82"/>
      <c r="B359" s="82"/>
      <c r="C359" s="117"/>
      <c r="E359" s="118"/>
      <c r="F359" s="82"/>
      <c r="G359" s="30"/>
      <c r="H359" s="30"/>
      <c r="I359" s="30"/>
      <c r="J359" s="30"/>
      <c r="K359" s="30"/>
    </row>
    <row r="360" spans="1:11" ht="13.2">
      <c r="A360" s="82"/>
      <c r="B360" s="82"/>
      <c r="C360" s="117"/>
      <c r="E360" s="118"/>
      <c r="F360" s="82"/>
      <c r="G360" s="30"/>
      <c r="H360" s="30"/>
      <c r="I360" s="30"/>
      <c r="J360" s="30"/>
      <c r="K360" s="30"/>
    </row>
    <row r="361" spans="1:11" ht="13.2">
      <c r="A361" s="82"/>
      <c r="B361" s="82"/>
      <c r="C361" s="117"/>
      <c r="E361" s="118"/>
      <c r="F361" s="82"/>
      <c r="G361" s="30"/>
      <c r="H361" s="30"/>
      <c r="I361" s="30"/>
      <c r="J361" s="30"/>
      <c r="K361" s="30"/>
    </row>
    <row r="362" spans="1:11" ht="13.2">
      <c r="A362" s="82"/>
      <c r="B362" s="82"/>
      <c r="C362" s="117"/>
      <c r="E362" s="118"/>
      <c r="F362" s="82"/>
      <c r="G362" s="30"/>
      <c r="H362" s="30"/>
      <c r="I362" s="30"/>
      <c r="J362" s="30"/>
      <c r="K362" s="30"/>
    </row>
    <row r="363" spans="1:11" ht="13.2">
      <c r="A363" s="82"/>
      <c r="B363" s="82"/>
      <c r="C363" s="117"/>
      <c r="E363" s="118"/>
      <c r="F363" s="82"/>
      <c r="G363" s="30"/>
      <c r="H363" s="30"/>
      <c r="I363" s="30"/>
      <c r="J363" s="30"/>
      <c r="K363" s="30"/>
    </row>
    <row r="364" spans="1:11" ht="13.2">
      <c r="A364" s="82"/>
      <c r="B364" s="82"/>
      <c r="C364" s="117"/>
      <c r="E364" s="118"/>
      <c r="F364" s="82"/>
      <c r="G364" s="30"/>
      <c r="H364" s="30"/>
      <c r="I364" s="30"/>
      <c r="J364" s="30"/>
      <c r="K364" s="30"/>
    </row>
    <row r="365" spans="1:11" ht="13.2">
      <c r="A365" s="82"/>
      <c r="B365" s="82"/>
      <c r="C365" s="117"/>
      <c r="E365" s="118"/>
      <c r="F365" s="82"/>
      <c r="G365" s="30"/>
      <c r="H365" s="30"/>
      <c r="I365" s="30"/>
      <c r="J365" s="30"/>
      <c r="K365" s="30"/>
    </row>
    <row r="366" spans="1:11" ht="13.2">
      <c r="A366" s="82"/>
      <c r="B366" s="82"/>
      <c r="C366" s="117"/>
      <c r="E366" s="118"/>
      <c r="F366" s="82"/>
      <c r="G366" s="30"/>
      <c r="H366" s="30"/>
      <c r="I366" s="30"/>
      <c r="J366" s="30"/>
      <c r="K366" s="30"/>
    </row>
    <row r="367" spans="1:11" ht="13.2">
      <c r="A367" s="82"/>
      <c r="B367" s="82"/>
      <c r="C367" s="117"/>
      <c r="E367" s="118"/>
      <c r="F367" s="82"/>
      <c r="G367" s="30"/>
      <c r="H367" s="30"/>
      <c r="I367" s="30"/>
      <c r="J367" s="30"/>
      <c r="K367" s="30"/>
    </row>
    <row r="368" spans="1:11" ht="13.2">
      <c r="A368" s="82"/>
      <c r="B368" s="82"/>
      <c r="C368" s="117"/>
      <c r="E368" s="118"/>
      <c r="F368" s="82"/>
      <c r="G368" s="30"/>
      <c r="H368" s="30"/>
      <c r="I368" s="30"/>
      <c r="J368" s="30"/>
      <c r="K368" s="30"/>
    </row>
    <row r="369" spans="1:11" ht="13.2">
      <c r="A369" s="82"/>
      <c r="B369" s="82"/>
      <c r="C369" s="117"/>
      <c r="E369" s="118"/>
      <c r="F369" s="82"/>
      <c r="G369" s="30"/>
      <c r="H369" s="30"/>
      <c r="I369" s="30"/>
      <c r="J369" s="30"/>
      <c r="K369" s="30"/>
    </row>
    <row r="370" spans="1:11" ht="13.2">
      <c r="A370" s="82"/>
      <c r="B370" s="82"/>
      <c r="C370" s="117"/>
      <c r="E370" s="118"/>
      <c r="F370" s="82"/>
      <c r="G370" s="30"/>
      <c r="H370" s="30"/>
      <c r="I370" s="30"/>
      <c r="J370" s="30"/>
      <c r="K370" s="30"/>
    </row>
    <row r="371" spans="1:11" ht="13.2">
      <c r="A371" s="82"/>
      <c r="B371" s="82"/>
      <c r="C371" s="117"/>
      <c r="E371" s="118"/>
      <c r="F371" s="82"/>
      <c r="G371" s="30"/>
      <c r="H371" s="30"/>
      <c r="I371" s="30"/>
      <c r="J371" s="30"/>
      <c r="K371" s="30"/>
    </row>
    <row r="372" spans="1:11" ht="13.2">
      <c r="A372" s="82"/>
      <c r="B372" s="82"/>
      <c r="C372" s="117"/>
      <c r="E372" s="118"/>
      <c r="F372" s="82"/>
      <c r="G372" s="30"/>
      <c r="H372" s="30"/>
      <c r="I372" s="30"/>
      <c r="J372" s="30"/>
      <c r="K372" s="30"/>
    </row>
    <row r="373" spans="1:11" ht="13.2">
      <c r="A373" s="82"/>
      <c r="B373" s="82"/>
      <c r="C373" s="117"/>
      <c r="E373" s="118"/>
      <c r="F373" s="82"/>
      <c r="G373" s="30"/>
      <c r="H373" s="30"/>
      <c r="I373" s="30"/>
      <c r="J373" s="30"/>
      <c r="K373" s="30"/>
    </row>
    <row r="374" spans="1:11" ht="13.2">
      <c r="A374" s="82"/>
      <c r="B374" s="82"/>
      <c r="C374" s="117"/>
      <c r="E374" s="118"/>
      <c r="F374" s="82"/>
      <c r="G374" s="30"/>
      <c r="H374" s="30"/>
      <c r="I374" s="30"/>
      <c r="J374" s="30"/>
      <c r="K374" s="30"/>
    </row>
    <row r="375" spans="1:11" ht="13.2">
      <c r="A375" s="82"/>
      <c r="B375" s="82"/>
      <c r="C375" s="117"/>
      <c r="E375" s="118"/>
      <c r="F375" s="82"/>
      <c r="G375" s="30"/>
      <c r="H375" s="30"/>
      <c r="I375" s="30"/>
      <c r="J375" s="30"/>
      <c r="K375" s="30"/>
    </row>
    <row r="376" spans="1:11" ht="13.2">
      <c r="A376" s="82"/>
      <c r="B376" s="82"/>
      <c r="C376" s="117"/>
      <c r="E376" s="118"/>
      <c r="F376" s="82"/>
      <c r="G376" s="30"/>
      <c r="H376" s="30"/>
      <c r="I376" s="30"/>
      <c r="J376" s="30"/>
      <c r="K376" s="30"/>
    </row>
    <row r="377" spans="1:11" ht="13.2">
      <c r="A377" s="82"/>
      <c r="B377" s="82"/>
      <c r="C377" s="117"/>
      <c r="E377" s="118"/>
      <c r="F377" s="82"/>
      <c r="G377" s="30"/>
      <c r="H377" s="30"/>
      <c r="I377" s="30"/>
      <c r="J377" s="30"/>
      <c r="K377" s="30"/>
    </row>
    <row r="378" spans="1:11" ht="13.2">
      <c r="A378" s="82"/>
      <c r="B378" s="82"/>
      <c r="C378" s="117"/>
      <c r="E378" s="118"/>
      <c r="F378" s="82"/>
      <c r="G378" s="30"/>
      <c r="H378" s="30"/>
      <c r="I378" s="30"/>
      <c r="J378" s="30"/>
      <c r="K378" s="30"/>
    </row>
    <row r="379" spans="1:11" ht="13.2">
      <c r="A379" s="82"/>
      <c r="B379" s="82"/>
      <c r="C379" s="117"/>
      <c r="E379" s="118"/>
      <c r="F379" s="82"/>
      <c r="G379" s="30"/>
      <c r="H379" s="30"/>
      <c r="I379" s="30"/>
      <c r="J379" s="30"/>
      <c r="K379" s="30"/>
    </row>
    <row r="380" spans="1:11" ht="13.2">
      <c r="A380" s="82"/>
      <c r="B380" s="82"/>
      <c r="C380" s="117"/>
      <c r="E380" s="118"/>
      <c r="F380" s="82"/>
      <c r="G380" s="30"/>
      <c r="H380" s="30"/>
      <c r="I380" s="30"/>
      <c r="J380" s="30"/>
      <c r="K380" s="30"/>
    </row>
    <row r="381" spans="1:11" ht="13.2">
      <c r="A381" s="82"/>
      <c r="B381" s="82"/>
      <c r="C381" s="117"/>
      <c r="E381" s="118"/>
      <c r="F381" s="82"/>
      <c r="G381" s="30"/>
      <c r="H381" s="30"/>
      <c r="I381" s="30"/>
      <c r="J381" s="30"/>
      <c r="K381" s="30"/>
    </row>
    <row r="382" spans="1:11" ht="13.2">
      <c r="A382" s="82"/>
      <c r="B382" s="82"/>
      <c r="C382" s="117"/>
      <c r="E382" s="118"/>
      <c r="F382" s="82"/>
      <c r="G382" s="30"/>
      <c r="H382" s="30"/>
      <c r="I382" s="30"/>
      <c r="J382" s="30"/>
      <c r="K382" s="30"/>
    </row>
    <row r="383" spans="1:11" ht="13.2">
      <c r="A383" s="82"/>
      <c r="B383" s="82"/>
      <c r="C383" s="117"/>
      <c r="E383" s="118"/>
      <c r="F383" s="82"/>
      <c r="G383" s="30"/>
      <c r="H383" s="30"/>
      <c r="I383" s="30"/>
      <c r="J383" s="30"/>
      <c r="K383" s="30"/>
    </row>
    <row r="384" spans="1:11" ht="13.2">
      <c r="A384" s="82"/>
      <c r="B384" s="82"/>
      <c r="C384" s="117"/>
      <c r="E384" s="118"/>
      <c r="F384" s="82"/>
      <c r="G384" s="30"/>
      <c r="H384" s="30"/>
      <c r="I384" s="30"/>
      <c r="J384" s="30"/>
      <c r="K384" s="30"/>
    </row>
    <row r="385" spans="1:11" ht="13.2">
      <c r="A385" s="82"/>
      <c r="B385" s="82"/>
      <c r="C385" s="117"/>
      <c r="E385" s="118"/>
      <c r="F385" s="82"/>
      <c r="G385" s="30"/>
      <c r="H385" s="30"/>
      <c r="I385" s="30"/>
      <c r="J385" s="30"/>
      <c r="K385" s="30"/>
    </row>
    <row r="386" spans="1:11" ht="13.2">
      <c r="A386" s="82"/>
      <c r="B386" s="82"/>
      <c r="C386" s="117"/>
      <c r="E386" s="118"/>
      <c r="F386" s="82"/>
      <c r="G386" s="30"/>
      <c r="H386" s="30"/>
      <c r="I386" s="30"/>
      <c r="J386" s="30"/>
      <c r="K386" s="30"/>
    </row>
    <row r="387" spans="1:11" ht="13.2">
      <c r="A387" s="82"/>
      <c r="B387" s="82"/>
      <c r="C387" s="117"/>
      <c r="E387" s="118"/>
      <c r="F387" s="82"/>
      <c r="G387" s="30"/>
      <c r="H387" s="30"/>
      <c r="I387" s="30"/>
      <c r="J387" s="30"/>
      <c r="K387" s="30"/>
    </row>
    <row r="388" spans="1:11" ht="13.2">
      <c r="A388" s="82"/>
      <c r="B388" s="82"/>
      <c r="C388" s="117"/>
      <c r="E388" s="118"/>
      <c r="F388" s="82"/>
      <c r="G388" s="30"/>
      <c r="H388" s="30"/>
      <c r="I388" s="30"/>
      <c r="J388" s="30"/>
      <c r="K388" s="30"/>
    </row>
    <row r="389" spans="1:11" ht="13.2">
      <c r="A389" s="82"/>
      <c r="B389" s="82"/>
      <c r="C389" s="117"/>
      <c r="E389" s="118"/>
      <c r="F389" s="82"/>
      <c r="G389" s="30"/>
      <c r="H389" s="30"/>
      <c r="I389" s="30"/>
      <c r="J389" s="30"/>
      <c r="K389" s="30"/>
    </row>
    <row r="390" spans="1:11" ht="13.2">
      <c r="A390" s="82"/>
      <c r="B390" s="82"/>
      <c r="C390" s="117"/>
      <c r="E390" s="118"/>
      <c r="F390" s="82"/>
      <c r="G390" s="30"/>
      <c r="H390" s="30"/>
      <c r="I390" s="30"/>
      <c r="J390" s="30"/>
      <c r="K390" s="30"/>
    </row>
    <row r="391" spans="1:11" ht="13.2">
      <c r="A391" s="82"/>
      <c r="B391" s="82"/>
      <c r="C391" s="117"/>
      <c r="E391" s="118"/>
      <c r="F391" s="82"/>
      <c r="G391" s="30"/>
      <c r="H391" s="30"/>
      <c r="I391" s="30"/>
      <c r="J391" s="30"/>
      <c r="K391" s="30"/>
    </row>
    <row r="392" spans="1:11" ht="13.2">
      <c r="A392" s="82"/>
      <c r="B392" s="82"/>
      <c r="C392" s="117"/>
      <c r="E392" s="118"/>
      <c r="F392" s="82"/>
      <c r="G392" s="30"/>
      <c r="H392" s="30"/>
      <c r="I392" s="30"/>
      <c r="J392" s="30"/>
      <c r="K392" s="30"/>
    </row>
    <row r="393" spans="1:11" ht="13.2">
      <c r="A393" s="82"/>
      <c r="B393" s="82"/>
      <c r="C393" s="117"/>
      <c r="E393" s="118"/>
      <c r="F393" s="82"/>
      <c r="G393" s="30"/>
      <c r="H393" s="30"/>
      <c r="I393" s="30"/>
      <c r="J393" s="30"/>
      <c r="K393" s="30"/>
    </row>
    <row r="394" spans="1:11" ht="13.2">
      <c r="A394" s="82"/>
      <c r="B394" s="82"/>
      <c r="C394" s="117"/>
      <c r="E394" s="118"/>
      <c r="F394" s="82"/>
      <c r="G394" s="30"/>
      <c r="H394" s="30"/>
      <c r="I394" s="30"/>
      <c r="J394" s="30"/>
      <c r="K394" s="30"/>
    </row>
    <row r="395" spans="1:11" ht="13.2">
      <c r="A395" s="82"/>
      <c r="B395" s="82"/>
      <c r="C395" s="117"/>
      <c r="E395" s="118"/>
      <c r="F395" s="82"/>
      <c r="G395" s="30"/>
      <c r="H395" s="30"/>
      <c r="I395" s="30"/>
      <c r="J395" s="30"/>
      <c r="K395" s="30"/>
    </row>
    <row r="396" spans="1:11" ht="13.2">
      <c r="A396" s="82"/>
      <c r="B396" s="82"/>
      <c r="C396" s="117"/>
      <c r="E396" s="118"/>
      <c r="F396" s="82"/>
      <c r="G396" s="30"/>
      <c r="H396" s="30"/>
      <c r="I396" s="30"/>
      <c r="J396" s="30"/>
      <c r="K396" s="30"/>
    </row>
    <row r="397" spans="1:11" ht="13.2">
      <c r="A397" s="82"/>
      <c r="B397" s="82"/>
      <c r="C397" s="117"/>
      <c r="E397" s="118"/>
      <c r="F397" s="82"/>
      <c r="G397" s="30"/>
      <c r="H397" s="30"/>
      <c r="I397" s="30"/>
      <c r="J397" s="30"/>
      <c r="K397" s="30"/>
    </row>
    <row r="398" spans="1:11" ht="13.2">
      <c r="A398" s="82"/>
      <c r="B398" s="82"/>
      <c r="C398" s="117"/>
      <c r="E398" s="118"/>
      <c r="F398" s="82"/>
      <c r="G398" s="30"/>
      <c r="H398" s="30"/>
      <c r="I398" s="30"/>
      <c r="J398" s="30"/>
      <c r="K398" s="30"/>
    </row>
    <row r="399" spans="1:11" ht="13.2">
      <c r="A399" s="82"/>
      <c r="B399" s="82"/>
      <c r="C399" s="117"/>
      <c r="E399" s="118"/>
      <c r="F399" s="82"/>
      <c r="G399" s="30"/>
      <c r="H399" s="30"/>
      <c r="I399" s="30"/>
      <c r="J399" s="30"/>
      <c r="K399" s="30"/>
    </row>
    <row r="400" spans="1:11" ht="13.2">
      <c r="A400" s="82"/>
      <c r="B400" s="82"/>
      <c r="C400" s="117"/>
      <c r="E400" s="118"/>
      <c r="F400" s="82"/>
      <c r="G400" s="30"/>
      <c r="H400" s="30"/>
      <c r="I400" s="30"/>
      <c r="J400" s="30"/>
      <c r="K400" s="30"/>
    </row>
    <row r="401" spans="1:11" ht="13.2">
      <c r="A401" s="82"/>
      <c r="B401" s="82"/>
      <c r="C401" s="117"/>
      <c r="E401" s="118"/>
      <c r="F401" s="82"/>
      <c r="G401" s="30"/>
      <c r="H401" s="30"/>
      <c r="I401" s="30"/>
      <c r="J401" s="30"/>
      <c r="K401" s="30"/>
    </row>
    <row r="402" spans="1:11" ht="13.2">
      <c r="A402" s="82"/>
      <c r="B402" s="82"/>
      <c r="C402" s="117"/>
      <c r="E402" s="118"/>
      <c r="F402" s="82"/>
      <c r="G402" s="30"/>
      <c r="H402" s="30"/>
      <c r="I402" s="30"/>
      <c r="J402" s="30"/>
      <c r="K402" s="30"/>
    </row>
    <row r="403" spans="1:11" ht="13.2">
      <c r="A403" s="82"/>
      <c r="B403" s="82"/>
      <c r="C403" s="117"/>
      <c r="E403" s="118"/>
      <c r="F403" s="82"/>
      <c r="G403" s="30"/>
      <c r="H403" s="30"/>
      <c r="I403" s="30"/>
      <c r="J403" s="30"/>
      <c r="K403" s="30"/>
    </row>
    <row r="404" spans="1:11" ht="13.2">
      <c r="A404" s="82"/>
      <c r="B404" s="82"/>
      <c r="C404" s="117"/>
      <c r="E404" s="118"/>
      <c r="F404" s="82"/>
      <c r="G404" s="30"/>
      <c r="H404" s="30"/>
      <c r="I404" s="30"/>
      <c r="J404" s="30"/>
      <c r="K404" s="30"/>
    </row>
    <row r="405" spans="1:11" ht="13.2">
      <c r="A405" s="82"/>
      <c r="B405" s="82"/>
      <c r="C405" s="117"/>
      <c r="E405" s="118"/>
      <c r="F405" s="82"/>
      <c r="G405" s="30"/>
      <c r="H405" s="30"/>
      <c r="I405" s="30"/>
      <c r="J405" s="30"/>
      <c r="K405" s="30"/>
    </row>
    <row r="406" spans="1:11" ht="13.2">
      <c r="A406" s="82"/>
      <c r="B406" s="82"/>
      <c r="C406" s="117"/>
      <c r="E406" s="118"/>
      <c r="F406" s="82"/>
      <c r="G406" s="30"/>
      <c r="H406" s="30"/>
      <c r="I406" s="30"/>
      <c r="J406" s="30"/>
      <c r="K406" s="30"/>
    </row>
    <row r="407" spans="1:11" ht="13.2">
      <c r="A407" s="82"/>
      <c r="B407" s="82"/>
      <c r="C407" s="117"/>
      <c r="E407" s="118"/>
      <c r="F407" s="82"/>
      <c r="G407" s="30"/>
      <c r="H407" s="30"/>
      <c r="I407" s="30"/>
      <c r="J407" s="30"/>
      <c r="K407" s="30"/>
    </row>
    <row r="408" spans="1:11" ht="13.2">
      <c r="A408" s="82"/>
      <c r="B408" s="82"/>
      <c r="C408" s="117"/>
      <c r="E408" s="118"/>
      <c r="F408" s="82"/>
      <c r="G408" s="30"/>
      <c r="H408" s="30"/>
      <c r="I408" s="30"/>
      <c r="J408" s="30"/>
      <c r="K408" s="30"/>
    </row>
    <row r="409" spans="1:11" ht="13.2">
      <c r="A409" s="82"/>
      <c r="B409" s="82"/>
      <c r="C409" s="117"/>
      <c r="E409" s="118"/>
      <c r="F409" s="82"/>
      <c r="G409" s="30"/>
      <c r="H409" s="30"/>
      <c r="I409" s="30"/>
      <c r="J409" s="30"/>
      <c r="K409" s="30"/>
    </row>
    <row r="410" spans="1:11" ht="13.2">
      <c r="A410" s="82"/>
      <c r="B410" s="82"/>
      <c r="C410" s="117"/>
      <c r="E410" s="118"/>
      <c r="F410" s="82"/>
      <c r="G410" s="30"/>
      <c r="H410" s="30"/>
      <c r="I410" s="30"/>
      <c r="J410" s="30"/>
      <c r="K410" s="30"/>
    </row>
    <row r="411" spans="1:11" ht="13.2">
      <c r="A411" s="82"/>
      <c r="B411" s="82"/>
      <c r="C411" s="117"/>
      <c r="E411" s="118"/>
      <c r="F411" s="82"/>
      <c r="G411" s="30"/>
      <c r="H411" s="30"/>
      <c r="I411" s="30"/>
      <c r="J411" s="30"/>
      <c r="K411" s="30"/>
    </row>
    <row r="412" spans="1:11" ht="13.2">
      <c r="A412" s="82"/>
      <c r="B412" s="82"/>
      <c r="C412" s="117"/>
      <c r="E412" s="118"/>
      <c r="F412" s="82"/>
      <c r="G412" s="30"/>
      <c r="H412" s="30"/>
      <c r="I412" s="30"/>
      <c r="J412" s="30"/>
      <c r="K412" s="30"/>
    </row>
    <row r="413" spans="1:11" ht="13.2">
      <c r="A413" s="82"/>
      <c r="B413" s="82"/>
      <c r="C413" s="117"/>
      <c r="E413" s="118"/>
      <c r="F413" s="82"/>
      <c r="G413" s="30"/>
      <c r="H413" s="30"/>
      <c r="I413" s="30"/>
      <c r="J413" s="30"/>
      <c r="K413" s="30"/>
    </row>
    <row r="414" spans="1:11" ht="13.2">
      <c r="A414" s="82"/>
      <c r="B414" s="82"/>
      <c r="C414" s="117"/>
      <c r="E414" s="118"/>
      <c r="F414" s="82"/>
      <c r="G414" s="30"/>
      <c r="H414" s="30"/>
      <c r="I414" s="30"/>
      <c r="J414" s="30"/>
      <c r="K414" s="30"/>
    </row>
    <row r="415" spans="1:11" ht="13.2">
      <c r="A415" s="82"/>
      <c r="B415" s="82"/>
      <c r="C415" s="117"/>
      <c r="E415" s="118"/>
      <c r="F415" s="82"/>
      <c r="G415" s="30"/>
      <c r="H415" s="30"/>
      <c r="I415" s="30"/>
      <c r="J415" s="30"/>
      <c r="K415" s="30"/>
    </row>
    <row r="416" spans="1:11" ht="13.2">
      <c r="A416" s="82"/>
      <c r="B416" s="82"/>
      <c r="C416" s="117"/>
      <c r="E416" s="118"/>
      <c r="F416" s="82"/>
      <c r="G416" s="30"/>
      <c r="H416" s="30"/>
      <c r="I416" s="30"/>
      <c r="J416" s="30"/>
      <c r="K416" s="30"/>
    </row>
    <row r="417" spans="1:11" ht="13.2">
      <c r="A417" s="82"/>
      <c r="B417" s="82"/>
      <c r="C417" s="117"/>
      <c r="E417" s="118"/>
      <c r="F417" s="82"/>
      <c r="G417" s="30"/>
      <c r="H417" s="30"/>
      <c r="I417" s="30"/>
      <c r="J417" s="30"/>
      <c r="K417" s="30"/>
    </row>
    <row r="418" spans="1:11" ht="13.2">
      <c r="A418" s="82"/>
      <c r="B418" s="82"/>
      <c r="C418" s="117"/>
      <c r="E418" s="118"/>
      <c r="F418" s="82"/>
      <c r="G418" s="30"/>
      <c r="H418" s="30"/>
      <c r="I418" s="30"/>
      <c r="J418" s="30"/>
      <c r="K418" s="30"/>
    </row>
    <row r="419" spans="1:11" ht="13.2">
      <c r="A419" s="82"/>
      <c r="B419" s="82"/>
      <c r="C419" s="117"/>
      <c r="E419" s="118"/>
      <c r="F419" s="82"/>
      <c r="G419" s="30"/>
      <c r="H419" s="30"/>
      <c r="I419" s="30"/>
      <c r="J419" s="30"/>
      <c r="K419" s="30"/>
    </row>
    <row r="420" spans="1:11" ht="13.2">
      <c r="A420" s="82"/>
      <c r="B420" s="82"/>
      <c r="C420" s="117"/>
      <c r="E420" s="118"/>
      <c r="F420" s="82"/>
      <c r="G420" s="30"/>
      <c r="H420" s="30"/>
      <c r="I420" s="30"/>
      <c r="J420" s="30"/>
      <c r="K420" s="30"/>
    </row>
    <row r="421" spans="1:11" ht="13.2">
      <c r="A421" s="82"/>
      <c r="B421" s="82"/>
      <c r="C421" s="117"/>
      <c r="E421" s="118"/>
      <c r="F421" s="82"/>
      <c r="G421" s="30"/>
      <c r="H421" s="30"/>
      <c r="I421" s="30"/>
      <c r="J421" s="30"/>
      <c r="K421" s="30"/>
    </row>
    <row r="422" spans="1:11" ht="13.2">
      <c r="A422" s="82"/>
      <c r="B422" s="82"/>
      <c r="C422" s="117"/>
      <c r="E422" s="118"/>
      <c r="F422" s="82"/>
      <c r="G422" s="30"/>
      <c r="H422" s="30"/>
      <c r="I422" s="30"/>
      <c r="J422" s="30"/>
      <c r="K422" s="30"/>
    </row>
    <row r="423" spans="1:11" ht="13.2">
      <c r="A423" s="82"/>
      <c r="B423" s="82"/>
      <c r="C423" s="117"/>
      <c r="E423" s="118"/>
      <c r="F423" s="82"/>
      <c r="G423" s="30"/>
      <c r="H423" s="30"/>
      <c r="I423" s="30"/>
      <c r="J423" s="30"/>
      <c r="K423" s="30"/>
    </row>
    <row r="424" spans="1:11" ht="13.2">
      <c r="A424" s="82"/>
      <c r="B424" s="82"/>
      <c r="C424" s="117"/>
      <c r="E424" s="118"/>
      <c r="F424" s="82"/>
      <c r="G424" s="30"/>
      <c r="H424" s="30"/>
      <c r="I424" s="30"/>
      <c r="J424" s="30"/>
      <c r="K424" s="30"/>
    </row>
    <row r="425" spans="1:11" ht="13.2">
      <c r="A425" s="82"/>
      <c r="B425" s="82"/>
      <c r="C425" s="117"/>
      <c r="E425" s="118"/>
      <c r="F425" s="82"/>
      <c r="G425" s="30"/>
      <c r="H425" s="30"/>
      <c r="I425" s="30"/>
      <c r="J425" s="30"/>
      <c r="K425" s="30"/>
    </row>
    <row r="426" spans="1:11" ht="13.2">
      <c r="A426" s="82"/>
      <c r="B426" s="82"/>
      <c r="C426" s="117"/>
      <c r="E426" s="118"/>
      <c r="F426" s="82"/>
      <c r="G426" s="30"/>
      <c r="H426" s="30"/>
      <c r="I426" s="30"/>
      <c r="J426" s="30"/>
      <c r="K426" s="30"/>
    </row>
    <row r="427" spans="1:11" ht="13.2">
      <c r="A427" s="82"/>
      <c r="B427" s="82"/>
      <c r="C427" s="117"/>
      <c r="E427" s="118"/>
      <c r="F427" s="82"/>
      <c r="G427" s="30"/>
      <c r="H427" s="30"/>
      <c r="I427" s="30"/>
      <c r="J427" s="30"/>
      <c r="K427" s="30"/>
    </row>
    <row r="428" spans="1:11" ht="13.2">
      <c r="A428" s="82"/>
      <c r="B428" s="82"/>
      <c r="C428" s="117"/>
      <c r="E428" s="118"/>
      <c r="F428" s="82"/>
      <c r="G428" s="30"/>
      <c r="H428" s="30"/>
      <c r="I428" s="30"/>
      <c r="J428" s="30"/>
      <c r="K428" s="30"/>
    </row>
    <row r="429" spans="1:11" ht="13.2">
      <c r="A429" s="82"/>
      <c r="B429" s="82"/>
      <c r="C429" s="117"/>
      <c r="E429" s="118"/>
      <c r="F429" s="82"/>
      <c r="G429" s="30"/>
      <c r="H429" s="30"/>
      <c r="I429" s="30"/>
      <c r="J429" s="30"/>
      <c r="K429" s="30"/>
    </row>
    <row r="430" spans="1:11" ht="13.2">
      <c r="A430" s="82"/>
      <c r="B430" s="82"/>
      <c r="C430" s="117"/>
      <c r="E430" s="118"/>
      <c r="F430" s="82"/>
      <c r="G430" s="30"/>
      <c r="H430" s="30"/>
      <c r="I430" s="30"/>
      <c r="J430" s="30"/>
      <c r="K430" s="30"/>
    </row>
    <row r="431" spans="1:11" ht="13.2">
      <c r="A431" s="82"/>
      <c r="B431" s="82"/>
      <c r="C431" s="117"/>
      <c r="E431" s="118"/>
      <c r="F431" s="82"/>
      <c r="G431" s="30"/>
      <c r="H431" s="30"/>
      <c r="I431" s="30"/>
      <c r="J431" s="30"/>
      <c r="K431" s="30"/>
    </row>
    <row r="432" spans="1:11" ht="13.2">
      <c r="A432" s="82"/>
      <c r="B432" s="82"/>
      <c r="C432" s="117"/>
      <c r="E432" s="118"/>
      <c r="F432" s="82"/>
      <c r="G432" s="30"/>
      <c r="H432" s="30"/>
      <c r="I432" s="30"/>
      <c r="J432" s="30"/>
      <c r="K432" s="30"/>
    </row>
    <row r="433" spans="1:11" ht="13.2">
      <c r="A433" s="82"/>
      <c r="B433" s="82"/>
      <c r="C433" s="117"/>
      <c r="E433" s="118"/>
      <c r="F433" s="82"/>
      <c r="G433" s="30"/>
      <c r="H433" s="30"/>
      <c r="I433" s="30"/>
      <c r="J433" s="30"/>
      <c r="K433" s="30"/>
    </row>
    <row r="434" spans="1:11" ht="13.2">
      <c r="A434" s="82"/>
      <c r="B434" s="82"/>
      <c r="C434" s="117"/>
      <c r="E434" s="118"/>
      <c r="F434" s="82"/>
      <c r="G434" s="30"/>
      <c r="H434" s="30"/>
      <c r="I434" s="30"/>
      <c r="J434" s="30"/>
      <c r="K434" s="30"/>
    </row>
    <row r="435" spans="1:11" ht="13.2">
      <c r="A435" s="82"/>
      <c r="B435" s="82"/>
      <c r="C435" s="117"/>
      <c r="E435" s="118"/>
      <c r="F435" s="82"/>
      <c r="G435" s="30"/>
      <c r="H435" s="30"/>
      <c r="I435" s="30"/>
      <c r="J435" s="30"/>
      <c r="K435" s="30"/>
    </row>
    <row r="436" spans="1:11" ht="13.2">
      <c r="A436" s="82"/>
      <c r="B436" s="82"/>
      <c r="C436" s="117"/>
      <c r="E436" s="118"/>
      <c r="F436" s="82"/>
      <c r="G436" s="30"/>
      <c r="H436" s="30"/>
      <c r="I436" s="30"/>
      <c r="J436" s="30"/>
      <c r="K436" s="30"/>
    </row>
    <row r="437" spans="1:11" ht="13.2">
      <c r="A437" s="82"/>
      <c r="B437" s="82"/>
      <c r="C437" s="117"/>
      <c r="E437" s="118"/>
      <c r="F437" s="82"/>
      <c r="G437" s="30"/>
      <c r="H437" s="30"/>
      <c r="I437" s="30"/>
      <c r="J437" s="30"/>
      <c r="K437" s="30"/>
    </row>
    <row r="438" spans="1:11" ht="13.2">
      <c r="A438" s="82"/>
      <c r="B438" s="82"/>
      <c r="C438" s="117"/>
      <c r="E438" s="118"/>
      <c r="F438" s="82"/>
      <c r="G438" s="30"/>
      <c r="H438" s="30"/>
      <c r="I438" s="30"/>
      <c r="J438" s="30"/>
      <c r="K438" s="30"/>
    </row>
    <row r="439" spans="1:11" ht="13.2">
      <c r="A439" s="82"/>
      <c r="B439" s="82"/>
      <c r="C439" s="117"/>
      <c r="E439" s="118"/>
      <c r="F439" s="82"/>
      <c r="G439" s="30"/>
      <c r="H439" s="30"/>
      <c r="I439" s="30"/>
      <c r="J439" s="30"/>
      <c r="K439" s="30"/>
    </row>
    <row r="440" spans="1:11" ht="13.2">
      <c r="A440" s="82"/>
      <c r="B440" s="82"/>
      <c r="C440" s="117"/>
      <c r="E440" s="118"/>
      <c r="F440" s="82"/>
      <c r="G440" s="30"/>
      <c r="H440" s="30"/>
      <c r="I440" s="30"/>
      <c r="J440" s="30"/>
      <c r="K440" s="30"/>
    </row>
    <row r="441" spans="1:11" ht="13.2">
      <c r="A441" s="82"/>
      <c r="B441" s="82"/>
      <c r="C441" s="117"/>
      <c r="E441" s="118"/>
      <c r="F441" s="82"/>
      <c r="G441" s="30"/>
      <c r="H441" s="30"/>
      <c r="I441" s="30"/>
      <c r="J441" s="30"/>
      <c r="K441" s="30"/>
    </row>
    <row r="442" spans="1:11" ht="13.2">
      <c r="A442" s="82"/>
      <c r="B442" s="82"/>
      <c r="C442" s="117"/>
      <c r="E442" s="118"/>
      <c r="F442" s="82"/>
      <c r="G442" s="30"/>
      <c r="H442" s="30"/>
      <c r="I442" s="30"/>
      <c r="J442" s="30"/>
      <c r="K442" s="30"/>
    </row>
    <row r="443" spans="1:11" ht="13.2">
      <c r="A443" s="82"/>
      <c r="B443" s="82"/>
      <c r="C443" s="117"/>
      <c r="E443" s="118"/>
      <c r="F443" s="82"/>
      <c r="G443" s="30"/>
      <c r="H443" s="30"/>
      <c r="I443" s="30"/>
      <c r="J443" s="30"/>
      <c r="K443" s="30"/>
    </row>
    <row r="444" spans="1:11" ht="13.2">
      <c r="A444" s="82"/>
      <c r="B444" s="82"/>
      <c r="C444" s="117"/>
      <c r="E444" s="118"/>
      <c r="F444" s="82"/>
      <c r="G444" s="30"/>
      <c r="H444" s="30"/>
      <c r="I444" s="30"/>
      <c r="J444" s="30"/>
      <c r="K444" s="30"/>
    </row>
    <row r="445" spans="1:11" ht="13.2">
      <c r="A445" s="82"/>
      <c r="B445" s="82"/>
      <c r="C445" s="117"/>
      <c r="E445" s="118"/>
      <c r="F445" s="82"/>
      <c r="G445" s="30"/>
      <c r="H445" s="30"/>
      <c r="I445" s="30"/>
      <c r="J445" s="30"/>
      <c r="K445" s="30"/>
    </row>
    <row r="446" spans="1:11" ht="13.2">
      <c r="A446" s="82"/>
      <c r="B446" s="82"/>
      <c r="C446" s="117"/>
      <c r="E446" s="118"/>
      <c r="F446" s="82"/>
      <c r="G446" s="30"/>
      <c r="H446" s="30"/>
      <c r="I446" s="30"/>
      <c r="J446" s="30"/>
      <c r="K446" s="30"/>
    </row>
    <row r="447" spans="1:11" ht="13.2">
      <c r="A447" s="82"/>
      <c r="B447" s="82"/>
      <c r="C447" s="117"/>
      <c r="E447" s="118"/>
      <c r="F447" s="82"/>
      <c r="G447" s="30"/>
      <c r="H447" s="30"/>
      <c r="I447" s="30"/>
      <c r="J447" s="30"/>
      <c r="K447" s="30"/>
    </row>
    <row r="448" spans="1:11" ht="13.2">
      <c r="A448" s="82"/>
      <c r="B448" s="82"/>
      <c r="C448" s="117"/>
      <c r="E448" s="118"/>
      <c r="F448" s="82"/>
      <c r="G448" s="30"/>
      <c r="H448" s="30"/>
      <c r="I448" s="30"/>
      <c r="J448" s="30"/>
      <c r="K448" s="30"/>
    </row>
    <row r="449" spans="1:11" ht="13.2">
      <c r="A449" s="82"/>
      <c r="B449" s="82"/>
      <c r="C449" s="117"/>
      <c r="E449" s="118"/>
      <c r="F449" s="82"/>
      <c r="G449" s="30"/>
      <c r="H449" s="30"/>
      <c r="I449" s="30"/>
      <c r="J449" s="30"/>
      <c r="K449" s="30"/>
    </row>
    <row r="450" spans="1:11" ht="13.2">
      <c r="A450" s="82"/>
      <c r="B450" s="82"/>
      <c r="C450" s="117"/>
      <c r="E450" s="118"/>
      <c r="F450" s="82"/>
      <c r="G450" s="30"/>
      <c r="H450" s="30"/>
      <c r="I450" s="30"/>
      <c r="J450" s="30"/>
      <c r="K450" s="30"/>
    </row>
    <row r="451" spans="1:11" ht="13.2">
      <c r="A451" s="82"/>
      <c r="B451" s="82"/>
      <c r="C451" s="117"/>
      <c r="E451" s="118"/>
      <c r="F451" s="82"/>
      <c r="G451" s="30"/>
      <c r="H451" s="30"/>
      <c r="I451" s="30"/>
      <c r="J451" s="30"/>
      <c r="K451" s="30"/>
    </row>
    <row r="452" spans="1:11" ht="13.2">
      <c r="A452" s="82"/>
      <c r="B452" s="82"/>
      <c r="C452" s="117"/>
      <c r="E452" s="118"/>
      <c r="F452" s="82"/>
      <c r="G452" s="30"/>
      <c r="H452" s="30"/>
      <c r="I452" s="30"/>
      <c r="J452" s="30"/>
      <c r="K452" s="30"/>
    </row>
    <row r="453" spans="1:11" ht="13.2">
      <c r="A453" s="82"/>
      <c r="B453" s="82"/>
      <c r="C453" s="117"/>
      <c r="E453" s="118"/>
      <c r="F453" s="82"/>
      <c r="G453" s="30"/>
      <c r="H453" s="30"/>
      <c r="I453" s="30"/>
      <c r="J453" s="30"/>
      <c r="K453" s="30"/>
    </row>
    <row r="454" spans="1:11" ht="13.2">
      <c r="A454" s="82"/>
      <c r="B454" s="82"/>
      <c r="C454" s="117"/>
      <c r="E454" s="118"/>
      <c r="F454" s="82"/>
      <c r="G454" s="30"/>
      <c r="H454" s="30"/>
      <c r="I454" s="30"/>
      <c r="J454" s="30"/>
      <c r="K454" s="30"/>
    </row>
    <row r="455" spans="1:11" ht="13.2">
      <c r="A455" s="82"/>
      <c r="B455" s="82"/>
      <c r="C455" s="117"/>
      <c r="E455" s="118"/>
      <c r="F455" s="82"/>
      <c r="G455" s="30"/>
      <c r="H455" s="30"/>
      <c r="I455" s="30"/>
      <c r="J455" s="30"/>
      <c r="K455" s="30"/>
    </row>
    <row r="456" spans="1:11" ht="13.2">
      <c r="A456" s="82"/>
      <c r="B456" s="82"/>
      <c r="C456" s="117"/>
      <c r="E456" s="118"/>
      <c r="F456" s="82"/>
      <c r="G456" s="30"/>
      <c r="H456" s="30"/>
      <c r="I456" s="30"/>
      <c r="J456" s="30"/>
      <c r="K456" s="30"/>
    </row>
    <row r="457" spans="1:11" ht="13.2">
      <c r="A457" s="82"/>
      <c r="B457" s="82"/>
      <c r="C457" s="117"/>
      <c r="E457" s="118"/>
      <c r="F457" s="82"/>
      <c r="G457" s="30"/>
      <c r="H457" s="30"/>
      <c r="I457" s="30"/>
      <c r="J457" s="30"/>
      <c r="K457" s="30"/>
    </row>
    <row r="458" spans="1:11" ht="13.2">
      <c r="A458" s="82"/>
      <c r="B458" s="82"/>
      <c r="C458" s="117"/>
      <c r="E458" s="118"/>
      <c r="F458" s="82"/>
      <c r="G458" s="30"/>
      <c r="H458" s="30"/>
      <c r="I458" s="30"/>
      <c r="J458" s="30"/>
      <c r="K458" s="30"/>
    </row>
    <row r="459" spans="1:11" ht="13.2">
      <c r="A459" s="82"/>
      <c r="B459" s="82"/>
      <c r="C459" s="117"/>
      <c r="E459" s="118"/>
      <c r="F459" s="82"/>
      <c r="G459" s="30"/>
      <c r="H459" s="30"/>
      <c r="I459" s="30"/>
      <c r="J459" s="30"/>
      <c r="K459" s="30"/>
    </row>
    <row r="460" spans="1:11" ht="13.2">
      <c r="A460" s="82"/>
      <c r="B460" s="82"/>
      <c r="C460" s="117"/>
      <c r="E460" s="118"/>
      <c r="F460" s="82"/>
      <c r="G460" s="30"/>
      <c r="H460" s="30"/>
      <c r="I460" s="30"/>
      <c r="J460" s="30"/>
      <c r="K460" s="30"/>
    </row>
    <row r="461" spans="1:11" ht="13.2">
      <c r="A461" s="82"/>
      <c r="B461" s="82"/>
      <c r="C461" s="117"/>
      <c r="E461" s="118"/>
      <c r="F461" s="82"/>
      <c r="G461" s="30"/>
      <c r="H461" s="30"/>
      <c r="I461" s="30"/>
      <c r="J461" s="30"/>
      <c r="K461" s="30"/>
    </row>
    <row r="462" spans="1:11" ht="13.2">
      <c r="A462" s="82"/>
      <c r="B462" s="82"/>
      <c r="C462" s="117"/>
      <c r="E462" s="118"/>
      <c r="F462" s="82"/>
      <c r="G462" s="30"/>
      <c r="H462" s="30"/>
      <c r="I462" s="30"/>
      <c r="J462" s="30"/>
      <c r="K462" s="30"/>
    </row>
    <row r="463" spans="1:11" ht="13.2">
      <c r="A463" s="82"/>
      <c r="B463" s="82"/>
      <c r="C463" s="117"/>
      <c r="E463" s="118"/>
      <c r="F463" s="82"/>
      <c r="G463" s="30"/>
      <c r="H463" s="30"/>
      <c r="I463" s="30"/>
      <c r="J463" s="30"/>
      <c r="K463" s="30"/>
    </row>
    <row r="464" spans="1:11" ht="13.2">
      <c r="A464" s="82"/>
      <c r="B464" s="82"/>
      <c r="C464" s="117"/>
      <c r="E464" s="118"/>
      <c r="F464" s="82"/>
      <c r="G464" s="30"/>
      <c r="H464" s="30"/>
      <c r="I464" s="30"/>
      <c r="J464" s="30"/>
      <c r="K464" s="30"/>
    </row>
    <row r="465" spans="1:11" ht="13.2">
      <c r="A465" s="82"/>
      <c r="B465" s="82"/>
      <c r="C465" s="117"/>
      <c r="E465" s="118"/>
      <c r="F465" s="82"/>
      <c r="G465" s="30"/>
      <c r="H465" s="30"/>
      <c r="I465" s="30"/>
      <c r="J465" s="30"/>
      <c r="K465" s="30"/>
    </row>
    <row r="466" spans="1:11" ht="13.2">
      <c r="A466" s="82"/>
      <c r="B466" s="82"/>
      <c r="C466" s="117"/>
      <c r="E466" s="118"/>
      <c r="F466" s="82"/>
      <c r="G466" s="30"/>
      <c r="H466" s="30"/>
      <c r="I466" s="30"/>
      <c r="J466" s="30"/>
      <c r="K466" s="30"/>
    </row>
    <row r="467" spans="1:11" ht="13.2">
      <c r="A467" s="82"/>
      <c r="B467" s="82"/>
      <c r="C467" s="117"/>
      <c r="E467" s="118"/>
      <c r="F467" s="82"/>
      <c r="G467" s="30"/>
      <c r="H467" s="30"/>
      <c r="I467" s="30"/>
      <c r="J467" s="30"/>
      <c r="K467" s="30"/>
    </row>
    <row r="468" spans="1:11" ht="13.2">
      <c r="A468" s="82"/>
      <c r="B468" s="82"/>
      <c r="C468" s="117"/>
      <c r="E468" s="118"/>
      <c r="F468" s="82"/>
      <c r="G468" s="30"/>
      <c r="H468" s="30"/>
      <c r="I468" s="30"/>
      <c r="J468" s="30"/>
      <c r="K468" s="30"/>
    </row>
    <row r="469" spans="1:11" ht="13.2">
      <c r="A469" s="82"/>
      <c r="B469" s="82"/>
      <c r="C469" s="117"/>
      <c r="E469" s="118"/>
      <c r="F469" s="82"/>
      <c r="G469" s="30"/>
      <c r="H469" s="30"/>
      <c r="I469" s="30"/>
      <c r="J469" s="30"/>
      <c r="K469" s="30"/>
    </row>
    <row r="470" spans="1:11" ht="13.2">
      <c r="A470" s="82"/>
      <c r="B470" s="82"/>
      <c r="C470" s="117"/>
      <c r="E470" s="118"/>
      <c r="F470" s="82"/>
      <c r="G470" s="30"/>
      <c r="H470" s="30"/>
      <c r="I470" s="30"/>
      <c r="J470" s="30"/>
      <c r="K470" s="30"/>
    </row>
    <row r="471" spans="1:11" ht="13.2">
      <c r="A471" s="82"/>
      <c r="B471" s="82"/>
      <c r="C471" s="117"/>
      <c r="E471" s="118"/>
      <c r="F471" s="82"/>
      <c r="G471" s="30"/>
      <c r="H471" s="30"/>
      <c r="I471" s="30"/>
      <c r="J471" s="30"/>
      <c r="K471" s="30"/>
    </row>
    <row r="472" spans="1:11" ht="13.2">
      <c r="A472" s="82"/>
      <c r="B472" s="82"/>
      <c r="C472" s="117"/>
      <c r="E472" s="118"/>
      <c r="F472" s="82"/>
      <c r="G472" s="30"/>
      <c r="H472" s="30"/>
      <c r="I472" s="30"/>
      <c r="J472" s="30"/>
      <c r="K472" s="30"/>
    </row>
    <row r="473" spans="1:11" ht="13.2">
      <c r="A473" s="82"/>
      <c r="B473" s="82"/>
      <c r="C473" s="117"/>
      <c r="E473" s="118"/>
      <c r="F473" s="82"/>
      <c r="G473" s="30"/>
      <c r="H473" s="30"/>
      <c r="I473" s="30"/>
      <c r="J473" s="30"/>
      <c r="K473" s="30"/>
    </row>
    <row r="474" spans="1:11" ht="13.2">
      <c r="A474" s="82"/>
      <c r="B474" s="82"/>
      <c r="C474" s="117"/>
      <c r="E474" s="118"/>
      <c r="F474" s="82"/>
      <c r="G474" s="30"/>
      <c r="H474" s="30"/>
      <c r="I474" s="30"/>
      <c r="J474" s="30"/>
      <c r="K474" s="30"/>
    </row>
    <row r="475" spans="1:11" ht="13.2">
      <c r="A475" s="82"/>
      <c r="B475" s="82"/>
      <c r="C475" s="117"/>
      <c r="E475" s="118"/>
      <c r="F475" s="82"/>
      <c r="G475" s="30"/>
      <c r="H475" s="30"/>
      <c r="I475" s="30"/>
      <c r="J475" s="30"/>
      <c r="K475" s="30"/>
    </row>
    <row r="476" spans="1:11" ht="13.2">
      <c r="A476" s="82"/>
      <c r="B476" s="82"/>
      <c r="C476" s="117"/>
      <c r="E476" s="118"/>
      <c r="F476" s="82"/>
      <c r="G476" s="30"/>
      <c r="H476" s="30"/>
      <c r="I476" s="30"/>
      <c r="J476" s="30"/>
      <c r="K476" s="30"/>
    </row>
    <row r="477" spans="1:11" ht="13.2">
      <c r="A477" s="82"/>
      <c r="B477" s="82"/>
      <c r="C477" s="117"/>
      <c r="E477" s="118"/>
      <c r="F477" s="82"/>
      <c r="G477" s="30"/>
      <c r="H477" s="30"/>
      <c r="I477" s="30"/>
      <c r="J477" s="30"/>
      <c r="K477" s="30"/>
    </row>
    <row r="478" spans="1:11" ht="13.2">
      <c r="A478" s="82"/>
      <c r="B478" s="82"/>
      <c r="C478" s="117"/>
      <c r="E478" s="118"/>
      <c r="F478" s="82"/>
      <c r="G478" s="30"/>
      <c r="H478" s="30"/>
      <c r="I478" s="30"/>
      <c r="J478" s="30"/>
      <c r="K478" s="30"/>
    </row>
    <row r="479" spans="1:11" ht="13.2">
      <c r="A479" s="82"/>
      <c r="B479" s="82"/>
      <c r="C479" s="117"/>
      <c r="E479" s="118"/>
      <c r="F479" s="82"/>
      <c r="G479" s="30"/>
      <c r="H479" s="30"/>
      <c r="I479" s="30"/>
      <c r="J479" s="30"/>
      <c r="K479" s="30"/>
    </row>
    <row r="480" spans="1:11" ht="13.2">
      <c r="A480" s="82"/>
      <c r="B480" s="82"/>
      <c r="C480" s="117"/>
      <c r="E480" s="118"/>
      <c r="F480" s="82"/>
      <c r="G480" s="30"/>
      <c r="H480" s="30"/>
      <c r="I480" s="30"/>
      <c r="J480" s="30"/>
      <c r="K480" s="30"/>
    </row>
    <row r="481" spans="1:11" ht="13.2">
      <c r="A481" s="82"/>
      <c r="B481" s="82"/>
      <c r="C481" s="117"/>
      <c r="E481" s="118"/>
      <c r="F481" s="82"/>
      <c r="G481" s="30"/>
      <c r="H481" s="30"/>
      <c r="I481" s="30"/>
      <c r="J481" s="30"/>
      <c r="K481" s="30"/>
    </row>
    <row r="482" spans="1:11" ht="13.2">
      <c r="A482" s="82"/>
      <c r="B482" s="82"/>
      <c r="C482" s="117"/>
      <c r="E482" s="118"/>
      <c r="F482" s="82"/>
      <c r="G482" s="30"/>
      <c r="H482" s="30"/>
      <c r="I482" s="30"/>
      <c r="J482" s="30"/>
      <c r="K482" s="30"/>
    </row>
    <row r="483" spans="1:11" ht="13.2">
      <c r="A483" s="82"/>
      <c r="B483" s="82"/>
      <c r="C483" s="117"/>
      <c r="E483" s="118"/>
      <c r="F483" s="82"/>
      <c r="G483" s="30"/>
      <c r="H483" s="30"/>
      <c r="I483" s="30"/>
      <c r="J483" s="30"/>
      <c r="K483" s="30"/>
    </row>
    <row r="484" spans="1:11" ht="13.2">
      <c r="A484" s="82"/>
      <c r="B484" s="82"/>
      <c r="C484" s="117"/>
      <c r="E484" s="118"/>
      <c r="F484" s="82"/>
      <c r="G484" s="30"/>
      <c r="H484" s="30"/>
      <c r="I484" s="30"/>
      <c r="J484" s="30"/>
      <c r="K484" s="30"/>
    </row>
    <row r="485" spans="1:11" ht="13.2">
      <c r="A485" s="82"/>
      <c r="B485" s="82"/>
      <c r="C485" s="117"/>
      <c r="E485" s="118"/>
      <c r="F485" s="82"/>
      <c r="G485" s="30"/>
      <c r="H485" s="30"/>
      <c r="I485" s="30"/>
      <c r="J485" s="30"/>
      <c r="K485" s="30"/>
    </row>
    <row r="486" spans="1:11" ht="13.2">
      <c r="A486" s="82"/>
      <c r="B486" s="82"/>
      <c r="C486" s="117"/>
      <c r="E486" s="118"/>
      <c r="F486" s="82"/>
      <c r="G486" s="30"/>
      <c r="H486" s="30"/>
      <c r="I486" s="30"/>
      <c r="J486" s="30"/>
      <c r="K486" s="30"/>
    </row>
    <row r="487" spans="1:11" ht="13.2">
      <c r="A487" s="82"/>
      <c r="B487" s="82"/>
      <c r="C487" s="117"/>
      <c r="E487" s="118"/>
      <c r="F487" s="82"/>
      <c r="G487" s="30"/>
      <c r="H487" s="30"/>
      <c r="I487" s="30"/>
      <c r="J487" s="30"/>
      <c r="K487" s="30"/>
    </row>
    <row r="488" spans="1:11" ht="13.2">
      <c r="A488" s="82"/>
      <c r="B488" s="82"/>
      <c r="C488" s="117"/>
      <c r="E488" s="118"/>
      <c r="F488" s="82"/>
      <c r="G488" s="30"/>
      <c r="H488" s="30"/>
      <c r="I488" s="30"/>
      <c r="J488" s="30"/>
      <c r="K488" s="30"/>
    </row>
    <row r="489" spans="1:11" ht="13.2">
      <c r="A489" s="82"/>
      <c r="B489" s="82"/>
      <c r="C489" s="117"/>
      <c r="E489" s="118"/>
      <c r="F489" s="82"/>
      <c r="G489" s="30"/>
      <c r="H489" s="30"/>
      <c r="I489" s="30"/>
      <c r="J489" s="30"/>
      <c r="K489" s="30"/>
    </row>
    <row r="490" spans="1:11" ht="13.2">
      <c r="A490" s="82"/>
      <c r="B490" s="82"/>
      <c r="C490" s="117"/>
      <c r="E490" s="118"/>
      <c r="F490" s="82"/>
      <c r="G490" s="30"/>
      <c r="H490" s="30"/>
      <c r="I490" s="30"/>
      <c r="J490" s="30"/>
      <c r="K490" s="30"/>
    </row>
    <row r="491" spans="1:11" ht="13.2">
      <c r="A491" s="82"/>
      <c r="B491" s="82"/>
      <c r="C491" s="117"/>
      <c r="E491" s="118"/>
      <c r="F491" s="82"/>
      <c r="G491" s="30"/>
      <c r="H491" s="30"/>
      <c r="I491" s="30"/>
      <c r="J491" s="30"/>
      <c r="K491" s="30"/>
    </row>
    <row r="492" spans="1:11" ht="13.2">
      <c r="A492" s="82"/>
      <c r="B492" s="82"/>
      <c r="C492" s="117"/>
      <c r="E492" s="118"/>
      <c r="F492" s="82"/>
      <c r="G492" s="30"/>
      <c r="H492" s="30"/>
      <c r="I492" s="30"/>
      <c r="J492" s="30"/>
      <c r="K492" s="30"/>
    </row>
    <row r="493" spans="1:11" ht="13.2">
      <c r="A493" s="82"/>
      <c r="B493" s="82"/>
      <c r="C493" s="117"/>
      <c r="E493" s="118"/>
      <c r="F493" s="82"/>
      <c r="G493" s="30"/>
      <c r="H493" s="30"/>
      <c r="I493" s="30"/>
      <c r="J493" s="30"/>
      <c r="K493" s="30"/>
    </row>
    <row r="494" spans="1:11" ht="13.2">
      <c r="A494" s="82"/>
      <c r="B494" s="82"/>
      <c r="C494" s="117"/>
      <c r="E494" s="118"/>
      <c r="F494" s="82"/>
      <c r="G494" s="30"/>
      <c r="H494" s="30"/>
      <c r="I494" s="30"/>
      <c r="J494" s="30"/>
      <c r="K494" s="30"/>
    </row>
    <row r="495" spans="1:11" ht="13.2">
      <c r="A495" s="82"/>
      <c r="B495" s="82"/>
      <c r="C495" s="117"/>
      <c r="E495" s="118"/>
      <c r="F495" s="82"/>
      <c r="G495" s="30"/>
      <c r="H495" s="30"/>
      <c r="I495" s="30"/>
      <c r="J495" s="30"/>
      <c r="K495" s="30"/>
    </row>
    <row r="496" spans="1:11" ht="13.2">
      <c r="A496" s="82"/>
      <c r="B496" s="82"/>
      <c r="C496" s="117"/>
      <c r="E496" s="118"/>
      <c r="F496" s="82"/>
      <c r="G496" s="30"/>
      <c r="H496" s="30"/>
      <c r="I496" s="30"/>
      <c r="J496" s="30"/>
      <c r="K496" s="30"/>
    </row>
    <row r="497" spans="1:11" ht="13.2">
      <c r="A497" s="82"/>
      <c r="B497" s="82"/>
      <c r="C497" s="117"/>
      <c r="E497" s="118"/>
      <c r="F497" s="82"/>
      <c r="G497" s="30"/>
      <c r="H497" s="30"/>
      <c r="I497" s="30"/>
      <c r="J497" s="30"/>
      <c r="K497" s="30"/>
    </row>
    <row r="498" spans="1:11" ht="13.2">
      <c r="A498" s="82"/>
      <c r="B498" s="82"/>
      <c r="C498" s="117"/>
      <c r="E498" s="118"/>
      <c r="F498" s="82"/>
      <c r="G498" s="30"/>
      <c r="H498" s="30"/>
      <c r="I498" s="30"/>
      <c r="J498" s="30"/>
      <c r="K498" s="30"/>
    </row>
    <row r="499" spans="1:11" ht="13.2">
      <c r="A499" s="82"/>
      <c r="B499" s="82"/>
      <c r="C499" s="117"/>
      <c r="E499" s="118"/>
      <c r="F499" s="82"/>
      <c r="G499" s="30"/>
      <c r="H499" s="30"/>
      <c r="I499" s="30"/>
      <c r="J499" s="30"/>
      <c r="K499" s="30"/>
    </row>
    <row r="500" spans="1:11" ht="13.2">
      <c r="A500" s="82"/>
      <c r="B500" s="82"/>
      <c r="C500" s="117"/>
      <c r="E500" s="118"/>
      <c r="F500" s="82"/>
      <c r="G500" s="30"/>
      <c r="H500" s="30"/>
      <c r="I500" s="30"/>
      <c r="J500" s="30"/>
      <c r="K500" s="30"/>
    </row>
    <row r="501" spans="1:11" ht="13.2">
      <c r="A501" s="82"/>
      <c r="B501" s="82"/>
      <c r="C501" s="117"/>
      <c r="E501" s="118"/>
      <c r="F501" s="82"/>
      <c r="G501" s="30"/>
      <c r="H501" s="30"/>
      <c r="I501" s="30"/>
      <c r="J501" s="30"/>
      <c r="K501" s="30"/>
    </row>
    <row r="502" spans="1:11" ht="13.2">
      <c r="A502" s="82"/>
      <c r="B502" s="82"/>
      <c r="C502" s="117"/>
      <c r="E502" s="118"/>
      <c r="F502" s="82"/>
      <c r="G502" s="30"/>
      <c r="H502" s="30"/>
      <c r="I502" s="30"/>
      <c r="J502" s="30"/>
      <c r="K502" s="30"/>
    </row>
    <row r="503" spans="1:11" ht="13.2">
      <c r="A503" s="82"/>
      <c r="B503" s="82"/>
      <c r="C503" s="117"/>
      <c r="E503" s="118"/>
      <c r="F503" s="82"/>
      <c r="G503" s="30"/>
      <c r="H503" s="30"/>
      <c r="I503" s="30"/>
      <c r="J503" s="30"/>
      <c r="K503" s="30"/>
    </row>
    <row r="504" spans="1:11" ht="13.2">
      <c r="A504" s="82"/>
      <c r="B504" s="82"/>
      <c r="C504" s="117"/>
      <c r="E504" s="118"/>
      <c r="F504" s="82"/>
      <c r="G504" s="30"/>
      <c r="H504" s="30"/>
      <c r="I504" s="30"/>
      <c r="J504" s="30"/>
      <c r="K504" s="30"/>
    </row>
    <row r="505" spans="1:11" ht="13.2">
      <c r="A505" s="82"/>
      <c r="B505" s="82"/>
      <c r="C505" s="117"/>
      <c r="E505" s="118"/>
      <c r="F505" s="82"/>
      <c r="G505" s="30"/>
      <c r="H505" s="30"/>
      <c r="I505" s="30"/>
      <c r="J505" s="30"/>
      <c r="K505" s="30"/>
    </row>
    <row r="506" spans="1:11" ht="13.2">
      <c r="A506" s="82"/>
      <c r="B506" s="82"/>
      <c r="C506" s="117"/>
      <c r="E506" s="118"/>
      <c r="F506" s="82"/>
      <c r="G506" s="30"/>
      <c r="H506" s="30"/>
      <c r="I506" s="30"/>
      <c r="J506" s="30"/>
      <c r="K506" s="30"/>
    </row>
    <row r="507" spans="1:11" ht="13.2">
      <c r="A507" s="82"/>
      <c r="B507" s="82"/>
      <c r="C507" s="117"/>
      <c r="E507" s="118"/>
      <c r="F507" s="82"/>
      <c r="G507" s="30"/>
      <c r="H507" s="30"/>
      <c r="I507" s="30"/>
      <c r="J507" s="30"/>
      <c r="K507" s="30"/>
    </row>
    <row r="508" spans="1:11" ht="13.2">
      <c r="A508" s="82"/>
      <c r="B508" s="82"/>
      <c r="C508" s="117"/>
      <c r="E508" s="118"/>
      <c r="F508" s="82"/>
      <c r="G508" s="30"/>
      <c r="H508" s="30"/>
      <c r="I508" s="30"/>
      <c r="J508" s="30"/>
      <c r="K508" s="30"/>
    </row>
    <row r="509" spans="1:11" ht="13.2">
      <c r="A509" s="82"/>
      <c r="B509" s="82"/>
      <c r="C509" s="117"/>
      <c r="E509" s="118"/>
      <c r="F509" s="82"/>
      <c r="G509" s="30"/>
      <c r="H509" s="30"/>
      <c r="I509" s="30"/>
      <c r="J509" s="30"/>
      <c r="K509" s="30"/>
    </row>
    <row r="510" spans="1:11" ht="13.2">
      <c r="A510" s="82"/>
      <c r="B510" s="82"/>
      <c r="C510" s="117"/>
      <c r="E510" s="118"/>
      <c r="F510" s="82"/>
      <c r="G510" s="30"/>
      <c r="H510" s="30"/>
      <c r="I510" s="30"/>
      <c r="J510" s="30"/>
      <c r="K510" s="30"/>
    </row>
    <row r="511" spans="1:11" ht="13.2">
      <c r="A511" s="82"/>
      <c r="B511" s="82"/>
      <c r="C511" s="117"/>
      <c r="E511" s="118"/>
      <c r="F511" s="82"/>
      <c r="G511" s="30"/>
      <c r="H511" s="30"/>
      <c r="I511" s="30"/>
      <c r="J511" s="30"/>
      <c r="K511" s="30"/>
    </row>
    <row r="512" spans="1:11" ht="13.2">
      <c r="A512" s="82"/>
      <c r="B512" s="82"/>
      <c r="C512" s="117"/>
      <c r="E512" s="118"/>
      <c r="F512" s="82"/>
      <c r="G512" s="30"/>
      <c r="H512" s="30"/>
      <c r="I512" s="30"/>
      <c r="J512" s="30"/>
      <c r="K512" s="30"/>
    </row>
    <row r="513" spans="1:11" ht="13.2">
      <c r="A513" s="82"/>
      <c r="B513" s="82"/>
      <c r="C513" s="117"/>
      <c r="E513" s="118"/>
      <c r="F513" s="82"/>
      <c r="G513" s="30"/>
      <c r="H513" s="30"/>
      <c r="I513" s="30"/>
      <c r="J513" s="30"/>
      <c r="K513" s="30"/>
    </row>
    <row r="514" spans="1:11" ht="13.2">
      <c r="A514" s="82"/>
      <c r="B514" s="82"/>
      <c r="C514" s="117"/>
      <c r="E514" s="118"/>
      <c r="F514" s="82"/>
      <c r="G514" s="30"/>
      <c r="H514" s="30"/>
      <c r="I514" s="30"/>
      <c r="J514" s="30"/>
      <c r="K514" s="30"/>
    </row>
    <row r="515" spans="1:11" ht="13.2">
      <c r="A515" s="82"/>
      <c r="B515" s="82"/>
      <c r="C515" s="117"/>
      <c r="E515" s="118"/>
      <c r="F515" s="82"/>
      <c r="G515" s="30"/>
      <c r="H515" s="30"/>
      <c r="I515" s="30"/>
      <c r="J515" s="30"/>
      <c r="K515" s="30"/>
    </row>
    <row r="516" spans="1:11" ht="13.2">
      <c r="A516" s="82"/>
      <c r="B516" s="82"/>
      <c r="C516" s="117"/>
      <c r="E516" s="118"/>
      <c r="F516" s="82"/>
      <c r="G516" s="30"/>
      <c r="H516" s="30"/>
      <c r="I516" s="30"/>
      <c r="J516" s="30"/>
      <c r="K516" s="30"/>
    </row>
    <row r="517" spans="1:11" ht="13.2">
      <c r="A517" s="82"/>
      <c r="B517" s="82"/>
      <c r="C517" s="117"/>
      <c r="E517" s="118"/>
      <c r="F517" s="82"/>
      <c r="G517" s="30"/>
      <c r="H517" s="30"/>
      <c r="I517" s="30"/>
      <c r="J517" s="30"/>
      <c r="K517" s="30"/>
    </row>
    <row r="518" spans="1:11" ht="13.2">
      <c r="A518" s="82"/>
      <c r="B518" s="82"/>
      <c r="C518" s="117"/>
      <c r="E518" s="118"/>
      <c r="F518" s="82"/>
      <c r="G518" s="30"/>
      <c r="H518" s="30"/>
      <c r="I518" s="30"/>
      <c r="J518" s="30"/>
      <c r="K518" s="30"/>
    </row>
    <row r="519" spans="1:11" ht="13.2">
      <c r="A519" s="82"/>
      <c r="B519" s="82"/>
      <c r="C519" s="117"/>
      <c r="E519" s="118"/>
      <c r="F519" s="82"/>
      <c r="G519" s="30"/>
      <c r="H519" s="30"/>
      <c r="I519" s="30"/>
      <c r="J519" s="30"/>
      <c r="K519" s="30"/>
    </row>
    <row r="520" spans="1:11" ht="13.2">
      <c r="A520" s="82"/>
      <c r="B520" s="82"/>
      <c r="C520" s="117"/>
      <c r="E520" s="118"/>
      <c r="F520" s="82"/>
      <c r="G520" s="30"/>
      <c r="H520" s="30"/>
      <c r="I520" s="30"/>
      <c r="J520" s="30"/>
      <c r="K520" s="30"/>
    </row>
    <row r="521" spans="1:11" ht="13.2">
      <c r="A521" s="82"/>
      <c r="B521" s="82"/>
      <c r="C521" s="117"/>
      <c r="E521" s="118"/>
      <c r="F521" s="82"/>
      <c r="G521" s="30"/>
      <c r="H521" s="30"/>
      <c r="I521" s="30"/>
      <c r="J521" s="30"/>
      <c r="K521" s="30"/>
    </row>
    <row r="522" spans="1:11" ht="13.2">
      <c r="A522" s="82"/>
      <c r="B522" s="82"/>
      <c r="C522" s="117"/>
      <c r="E522" s="118"/>
      <c r="F522" s="82"/>
      <c r="G522" s="30"/>
      <c r="H522" s="30"/>
      <c r="I522" s="30"/>
      <c r="J522" s="30"/>
      <c r="K522" s="30"/>
    </row>
    <row r="523" spans="1:11" ht="13.2">
      <c r="A523" s="82"/>
      <c r="B523" s="82"/>
      <c r="C523" s="117"/>
      <c r="E523" s="118"/>
      <c r="F523" s="82"/>
      <c r="G523" s="30"/>
      <c r="H523" s="30"/>
      <c r="I523" s="30"/>
      <c r="J523" s="30"/>
      <c r="K523" s="30"/>
    </row>
    <row r="524" spans="1:11" ht="13.2">
      <c r="A524" s="82"/>
      <c r="B524" s="82"/>
      <c r="C524" s="117"/>
      <c r="E524" s="118"/>
      <c r="F524" s="82"/>
      <c r="G524" s="30"/>
      <c r="H524" s="30"/>
      <c r="I524" s="30"/>
      <c r="J524" s="30"/>
      <c r="K524" s="30"/>
    </row>
    <row r="525" spans="1:11" ht="13.2">
      <c r="A525" s="82"/>
      <c r="B525" s="82"/>
      <c r="C525" s="117"/>
      <c r="E525" s="118"/>
      <c r="F525" s="82"/>
      <c r="G525" s="30"/>
      <c r="H525" s="30"/>
      <c r="I525" s="30"/>
      <c r="J525" s="30"/>
      <c r="K525" s="30"/>
    </row>
    <row r="526" spans="1:11" ht="13.2">
      <c r="A526" s="82"/>
      <c r="B526" s="82"/>
      <c r="C526" s="117"/>
      <c r="E526" s="118"/>
      <c r="F526" s="82"/>
      <c r="G526" s="30"/>
      <c r="H526" s="30"/>
      <c r="I526" s="30"/>
      <c r="J526" s="30"/>
      <c r="K526" s="30"/>
    </row>
    <row r="527" spans="1:11" ht="13.2">
      <c r="A527" s="82"/>
      <c r="B527" s="82"/>
      <c r="C527" s="117"/>
      <c r="E527" s="118"/>
      <c r="F527" s="82"/>
      <c r="G527" s="30"/>
      <c r="H527" s="30"/>
      <c r="I527" s="30"/>
      <c r="J527" s="30"/>
      <c r="K527" s="30"/>
    </row>
    <row r="528" spans="1:11" ht="13.2">
      <c r="A528" s="82"/>
      <c r="B528" s="82"/>
      <c r="C528" s="117"/>
      <c r="E528" s="118"/>
      <c r="F528" s="82"/>
      <c r="G528" s="30"/>
      <c r="H528" s="30"/>
      <c r="I528" s="30"/>
      <c r="J528" s="30"/>
      <c r="K528" s="30"/>
    </row>
    <row r="529" spans="1:11" ht="13.2">
      <c r="A529" s="82"/>
      <c r="B529" s="82"/>
      <c r="C529" s="117"/>
      <c r="E529" s="118"/>
      <c r="F529" s="82"/>
      <c r="G529" s="30"/>
      <c r="H529" s="30"/>
      <c r="I529" s="30"/>
      <c r="J529" s="30"/>
      <c r="K529" s="30"/>
    </row>
    <row r="530" spans="1:11" ht="13.2">
      <c r="A530" s="82"/>
      <c r="B530" s="82"/>
      <c r="C530" s="117"/>
      <c r="E530" s="118"/>
      <c r="F530" s="82"/>
      <c r="G530" s="30"/>
      <c r="H530" s="30"/>
      <c r="I530" s="30"/>
      <c r="J530" s="30"/>
      <c r="K530" s="30"/>
    </row>
    <row r="531" spans="1:11" ht="13.2">
      <c r="A531" s="82"/>
      <c r="B531" s="82"/>
      <c r="C531" s="117"/>
      <c r="E531" s="118"/>
      <c r="F531" s="82"/>
      <c r="G531" s="30"/>
      <c r="H531" s="30"/>
      <c r="I531" s="30"/>
      <c r="J531" s="30"/>
      <c r="K531" s="30"/>
    </row>
    <row r="532" spans="1:11" ht="13.2">
      <c r="A532" s="82"/>
      <c r="B532" s="82"/>
      <c r="C532" s="117"/>
      <c r="E532" s="118"/>
      <c r="F532" s="82"/>
      <c r="G532" s="30"/>
      <c r="H532" s="30"/>
      <c r="I532" s="30"/>
      <c r="J532" s="30"/>
      <c r="K532" s="30"/>
    </row>
    <row r="533" spans="1:11" ht="13.2">
      <c r="A533" s="82"/>
      <c r="B533" s="82"/>
      <c r="C533" s="117"/>
      <c r="E533" s="118"/>
      <c r="F533" s="82"/>
      <c r="G533" s="30"/>
      <c r="H533" s="30"/>
      <c r="I533" s="30"/>
      <c r="J533" s="30"/>
      <c r="K533" s="30"/>
    </row>
    <row r="534" spans="1:11" ht="13.2">
      <c r="A534" s="82"/>
      <c r="B534" s="82"/>
      <c r="C534" s="117"/>
      <c r="E534" s="118"/>
      <c r="F534" s="82"/>
      <c r="G534" s="30"/>
      <c r="H534" s="30"/>
      <c r="I534" s="30"/>
      <c r="J534" s="30"/>
      <c r="K534" s="30"/>
    </row>
    <row r="535" spans="1:11" ht="13.2">
      <c r="A535" s="82"/>
      <c r="B535" s="82"/>
      <c r="C535" s="117"/>
      <c r="E535" s="118"/>
      <c r="F535" s="82"/>
      <c r="G535" s="30"/>
      <c r="H535" s="30"/>
      <c r="I535" s="30"/>
      <c r="J535" s="30"/>
      <c r="K535" s="30"/>
    </row>
    <row r="536" spans="1:11" ht="13.2">
      <c r="A536" s="82"/>
      <c r="B536" s="82"/>
      <c r="C536" s="117"/>
      <c r="E536" s="118"/>
      <c r="F536" s="82"/>
      <c r="G536" s="30"/>
      <c r="H536" s="30"/>
      <c r="I536" s="30"/>
      <c r="J536" s="30"/>
      <c r="K536" s="30"/>
    </row>
    <row r="537" spans="1:11" ht="13.2">
      <c r="A537" s="82"/>
      <c r="B537" s="82"/>
      <c r="C537" s="117"/>
      <c r="E537" s="118"/>
      <c r="F537" s="82"/>
      <c r="G537" s="30"/>
      <c r="H537" s="30"/>
      <c r="I537" s="30"/>
      <c r="J537" s="30"/>
      <c r="K537" s="30"/>
    </row>
    <row r="538" spans="1:11" ht="13.2">
      <c r="A538" s="82"/>
      <c r="B538" s="82"/>
      <c r="C538" s="117"/>
      <c r="E538" s="118"/>
      <c r="F538" s="82"/>
      <c r="G538" s="30"/>
      <c r="H538" s="30"/>
      <c r="I538" s="30"/>
      <c r="J538" s="30"/>
      <c r="K538" s="30"/>
    </row>
    <row r="539" spans="1:11" ht="13.2">
      <c r="A539" s="82"/>
      <c r="B539" s="82"/>
      <c r="C539" s="117"/>
      <c r="E539" s="118"/>
      <c r="F539" s="82"/>
      <c r="G539" s="30"/>
      <c r="H539" s="30"/>
      <c r="I539" s="30"/>
      <c r="J539" s="30"/>
      <c r="K539" s="30"/>
    </row>
    <row r="540" spans="1:11" ht="13.2">
      <c r="A540" s="82"/>
      <c r="B540" s="82"/>
      <c r="C540" s="117"/>
      <c r="E540" s="118"/>
      <c r="F540" s="82"/>
      <c r="G540" s="30"/>
      <c r="H540" s="30"/>
      <c r="I540" s="30"/>
      <c r="J540" s="30"/>
      <c r="K540" s="30"/>
    </row>
    <row r="541" spans="1:11" ht="13.2">
      <c r="A541" s="82"/>
      <c r="B541" s="82"/>
      <c r="C541" s="117"/>
      <c r="E541" s="118"/>
      <c r="F541" s="82"/>
      <c r="G541" s="30"/>
      <c r="H541" s="30"/>
      <c r="I541" s="30"/>
      <c r="J541" s="30"/>
      <c r="K541" s="30"/>
    </row>
    <row r="542" spans="1:11" ht="13.2">
      <c r="A542" s="82"/>
      <c r="B542" s="82"/>
      <c r="C542" s="117"/>
      <c r="E542" s="118"/>
      <c r="F542" s="82"/>
      <c r="G542" s="30"/>
      <c r="H542" s="30"/>
      <c r="I542" s="30"/>
      <c r="J542" s="30"/>
      <c r="K542" s="30"/>
    </row>
    <row r="543" spans="1:11" ht="13.2">
      <c r="A543" s="82"/>
      <c r="B543" s="82"/>
      <c r="C543" s="117"/>
      <c r="E543" s="118"/>
      <c r="F543" s="82"/>
      <c r="G543" s="30"/>
      <c r="H543" s="30"/>
      <c r="I543" s="30"/>
      <c r="J543" s="30"/>
      <c r="K543" s="30"/>
    </row>
    <row r="544" spans="1:11" ht="13.2">
      <c r="A544" s="82"/>
      <c r="B544" s="82"/>
      <c r="C544" s="117"/>
      <c r="E544" s="118"/>
      <c r="F544" s="82"/>
      <c r="G544" s="30"/>
      <c r="H544" s="30"/>
      <c r="I544" s="30"/>
      <c r="J544" s="30"/>
      <c r="K544" s="30"/>
    </row>
    <row r="545" spans="1:11" ht="13.2">
      <c r="A545" s="82"/>
      <c r="B545" s="82"/>
      <c r="C545" s="117"/>
      <c r="E545" s="118"/>
      <c r="F545" s="82"/>
      <c r="G545" s="30"/>
      <c r="H545" s="30"/>
      <c r="I545" s="30"/>
      <c r="J545" s="30"/>
      <c r="K545" s="30"/>
    </row>
    <row r="546" spans="1:11" ht="13.2">
      <c r="A546" s="82"/>
      <c r="B546" s="82"/>
      <c r="C546" s="117"/>
      <c r="E546" s="118"/>
      <c r="F546" s="82"/>
      <c r="G546" s="30"/>
      <c r="H546" s="30"/>
      <c r="I546" s="30"/>
      <c r="J546" s="30"/>
      <c r="K546" s="30"/>
    </row>
    <row r="547" spans="1:11" ht="13.2">
      <c r="A547" s="82"/>
      <c r="B547" s="82"/>
      <c r="C547" s="117"/>
      <c r="E547" s="118"/>
      <c r="F547" s="82"/>
      <c r="G547" s="30"/>
      <c r="H547" s="30"/>
      <c r="I547" s="30"/>
      <c r="J547" s="30"/>
      <c r="K547" s="30"/>
    </row>
    <row r="548" spans="1:11" ht="13.2">
      <c r="A548" s="82"/>
      <c r="B548" s="82"/>
      <c r="C548" s="117"/>
      <c r="E548" s="118"/>
      <c r="F548" s="82"/>
      <c r="G548" s="30"/>
      <c r="H548" s="30"/>
      <c r="I548" s="30"/>
      <c r="J548" s="30"/>
      <c r="K548" s="30"/>
    </row>
    <row r="549" spans="1:11" ht="13.2">
      <c r="A549" s="82"/>
      <c r="B549" s="82"/>
      <c r="C549" s="117"/>
      <c r="E549" s="118"/>
      <c r="F549" s="82"/>
      <c r="G549" s="30"/>
      <c r="H549" s="30"/>
      <c r="I549" s="30"/>
      <c r="J549" s="30"/>
      <c r="K549" s="30"/>
    </row>
    <row r="550" spans="1:11" ht="13.2">
      <c r="A550" s="82"/>
      <c r="B550" s="82"/>
      <c r="C550" s="117"/>
      <c r="E550" s="118"/>
      <c r="F550" s="82"/>
      <c r="G550" s="30"/>
      <c r="H550" s="30"/>
      <c r="I550" s="30"/>
      <c r="J550" s="30"/>
      <c r="K550" s="30"/>
    </row>
    <row r="551" spans="1:11" ht="13.2">
      <c r="A551" s="82"/>
      <c r="B551" s="82"/>
      <c r="C551" s="117"/>
      <c r="E551" s="118"/>
      <c r="F551" s="82"/>
      <c r="G551" s="30"/>
      <c r="H551" s="30"/>
      <c r="I551" s="30"/>
      <c r="J551" s="30"/>
      <c r="K551" s="30"/>
    </row>
    <row r="552" spans="1:11" ht="13.2">
      <c r="A552" s="82"/>
      <c r="B552" s="82"/>
      <c r="C552" s="117"/>
      <c r="E552" s="118"/>
      <c r="F552" s="82"/>
      <c r="G552" s="30"/>
      <c r="H552" s="30"/>
      <c r="I552" s="30"/>
      <c r="J552" s="30"/>
      <c r="K552" s="30"/>
    </row>
    <row r="553" spans="1:11" ht="13.2">
      <c r="A553" s="82"/>
      <c r="B553" s="82"/>
      <c r="C553" s="117"/>
      <c r="E553" s="118"/>
      <c r="F553" s="82"/>
      <c r="G553" s="30"/>
      <c r="H553" s="30"/>
      <c r="I553" s="30"/>
      <c r="J553" s="30"/>
      <c r="K553" s="30"/>
    </row>
    <row r="554" spans="1:11" ht="13.2">
      <c r="A554" s="82"/>
      <c r="B554" s="82"/>
      <c r="C554" s="117"/>
      <c r="E554" s="118"/>
      <c r="F554" s="82"/>
      <c r="G554" s="30"/>
      <c r="H554" s="30"/>
      <c r="I554" s="30"/>
      <c r="J554" s="30"/>
      <c r="K554" s="30"/>
    </row>
    <row r="555" spans="1:11" ht="13.2">
      <c r="A555" s="82"/>
      <c r="B555" s="82"/>
      <c r="C555" s="117"/>
      <c r="E555" s="118"/>
      <c r="F555" s="82"/>
      <c r="G555" s="30"/>
      <c r="H555" s="30"/>
      <c r="I555" s="30"/>
      <c r="J555" s="30"/>
      <c r="K555" s="30"/>
    </row>
    <row r="556" spans="1:11" ht="13.2">
      <c r="A556" s="82"/>
      <c r="B556" s="82"/>
      <c r="C556" s="117"/>
      <c r="E556" s="118"/>
      <c r="F556" s="82"/>
      <c r="G556" s="30"/>
      <c r="H556" s="30"/>
      <c r="I556" s="30"/>
      <c r="J556" s="30"/>
      <c r="K556" s="30"/>
    </row>
    <row r="557" spans="1:11" ht="13.2">
      <c r="A557" s="82"/>
      <c r="B557" s="82"/>
      <c r="C557" s="117"/>
      <c r="E557" s="118"/>
      <c r="F557" s="82"/>
      <c r="G557" s="30"/>
      <c r="H557" s="30"/>
      <c r="I557" s="30"/>
      <c r="J557" s="30"/>
      <c r="K557" s="30"/>
    </row>
    <row r="558" spans="1:11" ht="13.2">
      <c r="A558" s="82"/>
      <c r="B558" s="82"/>
      <c r="C558" s="117"/>
      <c r="E558" s="118"/>
      <c r="F558" s="82"/>
      <c r="G558" s="30"/>
      <c r="H558" s="30"/>
      <c r="I558" s="30"/>
      <c r="J558" s="30"/>
      <c r="K558" s="30"/>
    </row>
    <row r="559" spans="1:11" ht="13.2">
      <c r="A559" s="82"/>
      <c r="B559" s="82"/>
      <c r="C559" s="117"/>
      <c r="E559" s="118"/>
      <c r="F559" s="82"/>
      <c r="G559" s="30"/>
      <c r="H559" s="30"/>
      <c r="I559" s="30"/>
      <c r="J559" s="30"/>
      <c r="K559" s="30"/>
    </row>
    <row r="560" spans="1:11" ht="13.2">
      <c r="A560" s="82"/>
      <c r="B560" s="82"/>
      <c r="C560" s="117"/>
      <c r="E560" s="118"/>
      <c r="F560" s="82"/>
      <c r="G560" s="30"/>
      <c r="H560" s="30"/>
      <c r="I560" s="30"/>
      <c r="J560" s="30"/>
      <c r="K560" s="30"/>
    </row>
    <row r="561" spans="1:11" ht="13.2">
      <c r="A561" s="82"/>
      <c r="B561" s="82"/>
      <c r="C561" s="117"/>
      <c r="E561" s="118"/>
      <c r="F561" s="82"/>
      <c r="G561" s="30"/>
      <c r="H561" s="30"/>
      <c r="I561" s="30"/>
      <c r="J561" s="30"/>
      <c r="K561" s="30"/>
    </row>
    <row r="562" spans="1:11" ht="13.2">
      <c r="A562" s="82"/>
      <c r="B562" s="82"/>
      <c r="C562" s="117"/>
      <c r="E562" s="118"/>
      <c r="F562" s="82"/>
      <c r="G562" s="30"/>
      <c r="H562" s="30"/>
      <c r="I562" s="30"/>
      <c r="J562" s="30"/>
      <c r="K562" s="30"/>
    </row>
    <row r="563" spans="1:11" ht="13.2">
      <c r="A563" s="82"/>
      <c r="B563" s="82"/>
      <c r="C563" s="117"/>
      <c r="E563" s="118"/>
      <c r="F563" s="82"/>
      <c r="G563" s="30"/>
      <c r="H563" s="30"/>
      <c r="I563" s="30"/>
      <c r="J563" s="30"/>
      <c r="K563" s="30"/>
    </row>
    <row r="564" spans="1:11" ht="13.2">
      <c r="A564" s="82"/>
      <c r="B564" s="82"/>
      <c r="C564" s="117"/>
      <c r="E564" s="118"/>
      <c r="F564" s="82"/>
      <c r="G564" s="30"/>
      <c r="H564" s="30"/>
      <c r="I564" s="30"/>
      <c r="J564" s="30"/>
      <c r="K564" s="30"/>
    </row>
    <row r="565" spans="1:11" ht="13.2">
      <c r="A565" s="82"/>
      <c r="B565" s="82"/>
      <c r="C565" s="117"/>
      <c r="E565" s="118"/>
      <c r="F565" s="82"/>
      <c r="G565" s="30"/>
      <c r="H565" s="30"/>
      <c r="I565" s="30"/>
      <c r="J565" s="30"/>
      <c r="K565" s="30"/>
    </row>
    <row r="566" spans="1:11" ht="13.2">
      <c r="A566" s="82"/>
      <c r="B566" s="82"/>
      <c r="C566" s="117"/>
      <c r="E566" s="118"/>
      <c r="F566" s="82"/>
      <c r="G566" s="30"/>
      <c r="H566" s="30"/>
      <c r="I566" s="30"/>
      <c r="J566" s="30"/>
      <c r="K566" s="30"/>
    </row>
    <row r="567" spans="1:11" ht="13.2">
      <c r="A567" s="82"/>
      <c r="B567" s="82"/>
      <c r="C567" s="117"/>
      <c r="E567" s="118"/>
      <c r="F567" s="82"/>
      <c r="G567" s="30"/>
      <c r="H567" s="30"/>
      <c r="I567" s="30"/>
      <c r="J567" s="30"/>
      <c r="K567" s="30"/>
    </row>
    <row r="568" spans="1:11" ht="13.2">
      <c r="A568" s="82"/>
      <c r="B568" s="82"/>
      <c r="C568" s="117"/>
      <c r="E568" s="118"/>
      <c r="F568" s="82"/>
      <c r="G568" s="30"/>
      <c r="H568" s="30"/>
      <c r="I568" s="30"/>
      <c r="J568" s="30"/>
      <c r="K568" s="30"/>
    </row>
    <row r="569" spans="1:11" ht="13.2">
      <c r="A569" s="82"/>
      <c r="B569" s="82"/>
      <c r="C569" s="117"/>
      <c r="E569" s="118"/>
      <c r="F569" s="82"/>
      <c r="G569" s="30"/>
      <c r="H569" s="30"/>
      <c r="I569" s="30"/>
      <c r="J569" s="30"/>
      <c r="K569" s="30"/>
    </row>
    <row r="570" spans="1:11" ht="13.2">
      <c r="A570" s="82"/>
      <c r="B570" s="82"/>
      <c r="C570" s="117"/>
      <c r="E570" s="118"/>
      <c r="F570" s="82"/>
      <c r="G570" s="30"/>
      <c r="H570" s="30"/>
      <c r="I570" s="30"/>
      <c r="J570" s="30"/>
      <c r="K570" s="30"/>
    </row>
    <row r="571" spans="1:11" ht="13.2">
      <c r="A571" s="82"/>
      <c r="B571" s="82"/>
      <c r="C571" s="117"/>
      <c r="E571" s="118"/>
      <c r="F571" s="82"/>
      <c r="G571" s="30"/>
      <c r="H571" s="30"/>
      <c r="I571" s="30"/>
      <c r="J571" s="30"/>
      <c r="K571" s="30"/>
    </row>
    <row r="572" spans="1:11" ht="13.2">
      <c r="A572" s="82"/>
      <c r="B572" s="82"/>
      <c r="C572" s="117"/>
      <c r="E572" s="118"/>
      <c r="F572" s="82"/>
      <c r="G572" s="30"/>
      <c r="H572" s="30"/>
      <c r="I572" s="30"/>
      <c r="J572" s="30"/>
      <c r="K572" s="30"/>
    </row>
    <row r="573" spans="1:11" ht="13.2">
      <c r="A573" s="82"/>
      <c r="B573" s="82"/>
      <c r="C573" s="117"/>
      <c r="E573" s="118"/>
      <c r="F573" s="82"/>
      <c r="G573" s="30"/>
      <c r="H573" s="30"/>
      <c r="I573" s="30"/>
      <c r="J573" s="30"/>
      <c r="K573" s="30"/>
    </row>
    <row r="574" spans="1:11" ht="13.2">
      <c r="A574" s="82"/>
      <c r="B574" s="82"/>
      <c r="C574" s="117"/>
      <c r="E574" s="118"/>
      <c r="F574" s="82"/>
      <c r="G574" s="30"/>
      <c r="H574" s="30"/>
      <c r="I574" s="30"/>
      <c r="J574" s="30"/>
      <c r="K574" s="30"/>
    </row>
    <row r="575" spans="1:11" ht="13.2">
      <c r="A575" s="82"/>
      <c r="B575" s="82"/>
      <c r="C575" s="117"/>
      <c r="E575" s="118"/>
      <c r="F575" s="82"/>
      <c r="G575" s="30"/>
      <c r="H575" s="30"/>
      <c r="I575" s="30"/>
      <c r="J575" s="30"/>
      <c r="K575" s="30"/>
    </row>
    <row r="576" spans="1:11" ht="13.2">
      <c r="A576" s="82"/>
      <c r="B576" s="82"/>
      <c r="C576" s="117"/>
      <c r="E576" s="118"/>
      <c r="F576" s="82"/>
      <c r="G576" s="30"/>
      <c r="H576" s="30"/>
      <c r="I576" s="30"/>
      <c r="J576" s="30"/>
      <c r="K576" s="30"/>
    </row>
    <row r="577" spans="1:11" ht="13.2">
      <c r="A577" s="82"/>
      <c r="B577" s="82"/>
      <c r="C577" s="117"/>
      <c r="E577" s="118"/>
      <c r="F577" s="82"/>
      <c r="G577" s="30"/>
      <c r="H577" s="30"/>
      <c r="I577" s="30"/>
      <c r="J577" s="30"/>
      <c r="K577" s="30"/>
    </row>
    <row r="578" spans="1:11" ht="13.2">
      <c r="A578" s="82"/>
      <c r="B578" s="82"/>
      <c r="C578" s="117"/>
      <c r="E578" s="118"/>
      <c r="F578" s="82"/>
      <c r="G578" s="30"/>
      <c r="H578" s="30"/>
      <c r="I578" s="30"/>
      <c r="J578" s="30"/>
      <c r="K578" s="30"/>
    </row>
    <row r="579" spans="1:11" ht="13.2">
      <c r="A579" s="82"/>
      <c r="B579" s="82"/>
      <c r="C579" s="117"/>
      <c r="E579" s="118"/>
      <c r="F579" s="82"/>
      <c r="G579" s="30"/>
      <c r="H579" s="30"/>
      <c r="I579" s="30"/>
      <c r="J579" s="30"/>
      <c r="K579" s="30"/>
    </row>
    <row r="580" spans="1:11" ht="13.2">
      <c r="A580" s="82"/>
      <c r="B580" s="82"/>
      <c r="C580" s="117"/>
      <c r="E580" s="118"/>
      <c r="F580" s="82"/>
      <c r="G580" s="30"/>
      <c r="H580" s="30"/>
      <c r="I580" s="30"/>
      <c r="J580" s="30"/>
      <c r="K580" s="30"/>
    </row>
    <row r="581" spans="1:11" ht="13.2">
      <c r="A581" s="82"/>
      <c r="B581" s="82"/>
      <c r="C581" s="117"/>
      <c r="E581" s="118"/>
      <c r="F581" s="82"/>
      <c r="G581" s="30"/>
      <c r="H581" s="30"/>
      <c r="I581" s="30"/>
      <c r="J581" s="30"/>
      <c r="K581" s="30"/>
    </row>
    <row r="582" spans="1:11" ht="13.2">
      <c r="A582" s="82"/>
      <c r="B582" s="82"/>
      <c r="C582" s="117"/>
      <c r="E582" s="118"/>
      <c r="F582" s="82"/>
      <c r="G582" s="30"/>
      <c r="H582" s="30"/>
      <c r="I582" s="30"/>
      <c r="J582" s="30"/>
      <c r="K582" s="30"/>
    </row>
    <row r="583" spans="1:11" ht="13.2">
      <c r="A583" s="82"/>
      <c r="B583" s="82"/>
      <c r="C583" s="117"/>
      <c r="E583" s="118"/>
      <c r="F583" s="82"/>
      <c r="G583" s="30"/>
      <c r="H583" s="30"/>
      <c r="I583" s="30"/>
      <c r="J583" s="30"/>
      <c r="K583" s="30"/>
    </row>
    <row r="584" spans="1:11" ht="13.2">
      <c r="A584" s="82"/>
      <c r="B584" s="82"/>
      <c r="C584" s="117"/>
      <c r="E584" s="118"/>
      <c r="F584" s="82"/>
      <c r="G584" s="30"/>
      <c r="H584" s="30"/>
      <c r="I584" s="30"/>
      <c r="J584" s="30"/>
      <c r="K584" s="30"/>
    </row>
    <row r="585" spans="1:11" ht="13.2">
      <c r="A585" s="82"/>
      <c r="B585" s="82"/>
      <c r="C585" s="117"/>
      <c r="E585" s="118"/>
      <c r="F585" s="82"/>
      <c r="G585" s="30"/>
      <c r="H585" s="30"/>
      <c r="I585" s="30"/>
      <c r="J585" s="30"/>
      <c r="K585" s="30"/>
    </row>
    <row r="586" spans="1:11" ht="13.2">
      <c r="A586" s="82"/>
      <c r="B586" s="82"/>
      <c r="C586" s="117"/>
      <c r="E586" s="118"/>
      <c r="F586" s="82"/>
      <c r="G586" s="30"/>
      <c r="H586" s="30"/>
      <c r="I586" s="30"/>
      <c r="J586" s="30"/>
      <c r="K586" s="30"/>
    </row>
    <row r="587" spans="1:11" ht="13.2">
      <c r="A587" s="82"/>
      <c r="B587" s="82"/>
      <c r="C587" s="117"/>
      <c r="E587" s="118"/>
      <c r="F587" s="82"/>
      <c r="G587" s="30"/>
      <c r="H587" s="30"/>
      <c r="I587" s="30"/>
      <c r="J587" s="30"/>
      <c r="K587" s="30"/>
    </row>
    <row r="588" spans="1:11" ht="13.2">
      <c r="A588" s="82"/>
      <c r="B588" s="82"/>
      <c r="C588" s="117"/>
      <c r="E588" s="118"/>
      <c r="F588" s="82"/>
      <c r="G588" s="30"/>
      <c r="H588" s="30"/>
      <c r="I588" s="30"/>
      <c r="J588" s="30"/>
      <c r="K588" s="30"/>
    </row>
    <row r="589" spans="1:11" ht="13.2">
      <c r="A589" s="82"/>
      <c r="B589" s="82"/>
      <c r="C589" s="117"/>
      <c r="E589" s="118"/>
      <c r="F589" s="82"/>
      <c r="G589" s="30"/>
      <c r="H589" s="30"/>
      <c r="I589" s="30"/>
      <c r="J589" s="30"/>
      <c r="K589" s="30"/>
    </row>
    <row r="590" spans="1:11" ht="13.2">
      <c r="A590" s="82"/>
      <c r="B590" s="82"/>
      <c r="C590" s="117"/>
      <c r="E590" s="118"/>
      <c r="F590" s="82"/>
      <c r="G590" s="30"/>
      <c r="H590" s="30"/>
      <c r="I590" s="30"/>
      <c r="J590" s="30"/>
      <c r="K590" s="30"/>
    </row>
    <row r="591" spans="1:11" ht="13.2">
      <c r="A591" s="82"/>
      <c r="B591" s="82"/>
      <c r="C591" s="117"/>
      <c r="E591" s="118"/>
      <c r="F591" s="82"/>
      <c r="G591" s="30"/>
      <c r="H591" s="30"/>
      <c r="I591" s="30"/>
      <c r="J591" s="30"/>
      <c r="K591" s="30"/>
    </row>
    <row r="592" spans="1:11" ht="13.2">
      <c r="A592" s="82"/>
      <c r="B592" s="82"/>
      <c r="C592" s="117"/>
      <c r="E592" s="118"/>
      <c r="F592" s="82"/>
      <c r="G592" s="30"/>
      <c r="H592" s="30"/>
      <c r="I592" s="30"/>
      <c r="J592" s="30"/>
      <c r="K592" s="30"/>
    </row>
    <row r="593" spans="1:11" ht="13.2">
      <c r="A593" s="82"/>
      <c r="B593" s="82"/>
      <c r="C593" s="117"/>
      <c r="E593" s="118"/>
      <c r="F593" s="82"/>
      <c r="G593" s="30"/>
      <c r="H593" s="30"/>
      <c r="I593" s="30"/>
      <c r="J593" s="30"/>
      <c r="K593" s="30"/>
    </row>
    <row r="594" spans="1:11" ht="13.2">
      <c r="A594" s="82"/>
      <c r="B594" s="82"/>
      <c r="C594" s="117"/>
      <c r="E594" s="118"/>
      <c r="F594" s="82"/>
      <c r="G594" s="30"/>
      <c r="H594" s="30"/>
      <c r="I594" s="30"/>
      <c r="J594" s="30"/>
      <c r="K594" s="30"/>
    </row>
    <row r="595" spans="1:11" ht="13.2">
      <c r="A595" s="82"/>
      <c r="B595" s="82"/>
      <c r="C595" s="117"/>
      <c r="E595" s="118"/>
      <c r="F595" s="82"/>
      <c r="G595" s="30"/>
      <c r="H595" s="30"/>
      <c r="I595" s="30"/>
      <c r="J595" s="30"/>
      <c r="K595" s="30"/>
    </row>
    <row r="596" spans="1:11" ht="13.2">
      <c r="A596" s="82"/>
      <c r="B596" s="82"/>
      <c r="C596" s="117"/>
      <c r="E596" s="118"/>
      <c r="F596" s="82"/>
      <c r="G596" s="30"/>
      <c r="H596" s="30"/>
      <c r="I596" s="30"/>
      <c r="J596" s="30"/>
      <c r="K596" s="30"/>
    </row>
    <row r="597" spans="1:11" ht="13.2">
      <c r="A597" s="82"/>
      <c r="B597" s="82"/>
      <c r="C597" s="117"/>
      <c r="E597" s="118"/>
      <c r="F597" s="82"/>
      <c r="G597" s="30"/>
      <c r="H597" s="30"/>
      <c r="I597" s="30"/>
      <c r="J597" s="30"/>
      <c r="K597" s="30"/>
    </row>
    <row r="598" spans="1:11" ht="13.2">
      <c r="A598" s="82"/>
      <c r="B598" s="82"/>
      <c r="C598" s="117"/>
      <c r="E598" s="118"/>
      <c r="F598" s="82"/>
      <c r="G598" s="30"/>
      <c r="H598" s="30"/>
      <c r="I598" s="30"/>
      <c r="J598" s="30"/>
      <c r="K598" s="30"/>
    </row>
    <row r="599" spans="1:11" ht="13.2">
      <c r="A599" s="82"/>
      <c r="B599" s="82"/>
      <c r="C599" s="117"/>
      <c r="E599" s="118"/>
      <c r="F599" s="82"/>
      <c r="G599" s="30"/>
      <c r="H599" s="30"/>
      <c r="I599" s="30"/>
      <c r="J599" s="30"/>
      <c r="K599" s="30"/>
    </row>
    <row r="600" spans="1:11" ht="13.2">
      <c r="A600" s="82"/>
      <c r="B600" s="82"/>
      <c r="C600" s="117"/>
      <c r="E600" s="118"/>
      <c r="F600" s="82"/>
      <c r="G600" s="30"/>
      <c r="H600" s="30"/>
      <c r="I600" s="30"/>
      <c r="J600" s="30"/>
      <c r="K600" s="30"/>
    </row>
    <row r="601" spans="1:11" ht="13.2">
      <c r="A601" s="82"/>
      <c r="B601" s="82"/>
      <c r="C601" s="117"/>
      <c r="E601" s="118"/>
      <c r="F601" s="82"/>
      <c r="G601" s="30"/>
      <c r="H601" s="30"/>
      <c r="I601" s="30"/>
      <c r="J601" s="30"/>
      <c r="K601" s="30"/>
    </row>
    <row r="602" spans="1:11" ht="13.2">
      <c r="A602" s="82"/>
      <c r="B602" s="82"/>
      <c r="C602" s="117"/>
      <c r="E602" s="118"/>
      <c r="F602" s="82"/>
      <c r="G602" s="30"/>
      <c r="H602" s="30"/>
      <c r="I602" s="30"/>
      <c r="J602" s="30"/>
      <c r="K602" s="30"/>
    </row>
    <row r="603" spans="1:11" ht="13.2">
      <c r="A603" s="82"/>
      <c r="B603" s="82"/>
      <c r="C603" s="117"/>
      <c r="E603" s="118"/>
      <c r="F603" s="82"/>
      <c r="G603" s="30"/>
      <c r="H603" s="30"/>
      <c r="I603" s="30"/>
      <c r="J603" s="30"/>
      <c r="K603" s="30"/>
    </row>
    <row r="604" spans="1:11" ht="13.2">
      <c r="A604" s="82"/>
      <c r="B604" s="82"/>
      <c r="C604" s="117"/>
      <c r="E604" s="118"/>
      <c r="F604" s="82"/>
      <c r="G604" s="30"/>
      <c r="H604" s="30"/>
      <c r="I604" s="30"/>
      <c r="J604" s="30"/>
      <c r="K604" s="30"/>
    </row>
    <row r="605" spans="1:11" ht="13.2">
      <c r="A605" s="82"/>
      <c r="B605" s="82"/>
      <c r="C605" s="117"/>
      <c r="E605" s="118"/>
      <c r="F605" s="82"/>
      <c r="G605" s="30"/>
      <c r="H605" s="30"/>
      <c r="I605" s="30"/>
      <c r="J605" s="30"/>
      <c r="K605" s="30"/>
    </row>
    <row r="606" spans="1:11" ht="13.2">
      <c r="A606" s="82"/>
      <c r="B606" s="82"/>
      <c r="C606" s="117"/>
      <c r="E606" s="118"/>
      <c r="F606" s="82"/>
      <c r="G606" s="30"/>
      <c r="H606" s="30"/>
      <c r="I606" s="30"/>
      <c r="J606" s="30"/>
      <c r="K606" s="30"/>
    </row>
    <row r="607" spans="1:11" ht="13.2">
      <c r="A607" s="82"/>
      <c r="B607" s="82"/>
      <c r="C607" s="117"/>
      <c r="E607" s="118"/>
      <c r="F607" s="82"/>
      <c r="G607" s="30"/>
      <c r="H607" s="30"/>
      <c r="I607" s="30"/>
      <c r="J607" s="30"/>
      <c r="K607" s="30"/>
    </row>
    <row r="608" spans="1:11" ht="13.2">
      <c r="A608" s="82"/>
      <c r="B608" s="82"/>
      <c r="C608" s="117"/>
      <c r="E608" s="118"/>
      <c r="F608" s="82"/>
      <c r="G608" s="30"/>
      <c r="H608" s="30"/>
      <c r="I608" s="30"/>
      <c r="J608" s="30"/>
      <c r="K608" s="30"/>
    </row>
    <row r="609" spans="1:11" ht="13.2">
      <c r="A609" s="82"/>
      <c r="B609" s="82"/>
      <c r="C609" s="117"/>
      <c r="E609" s="118"/>
      <c r="F609" s="82"/>
      <c r="G609" s="30"/>
      <c r="H609" s="30"/>
      <c r="I609" s="30"/>
      <c r="J609" s="30"/>
      <c r="K609" s="30"/>
    </row>
    <row r="610" spans="1:11" ht="13.2">
      <c r="A610" s="82"/>
      <c r="B610" s="82"/>
      <c r="C610" s="117"/>
      <c r="E610" s="118"/>
      <c r="F610" s="82"/>
      <c r="G610" s="30"/>
      <c r="H610" s="30"/>
      <c r="I610" s="30"/>
      <c r="J610" s="30"/>
      <c r="K610" s="30"/>
    </row>
    <row r="611" spans="1:11" ht="13.2">
      <c r="A611" s="82"/>
      <c r="B611" s="82"/>
      <c r="C611" s="117"/>
      <c r="E611" s="118"/>
      <c r="F611" s="82"/>
      <c r="G611" s="30"/>
      <c r="H611" s="30"/>
      <c r="I611" s="30"/>
      <c r="J611" s="30"/>
      <c r="K611" s="30"/>
    </row>
    <row r="612" spans="1:11" ht="13.2">
      <c r="A612" s="82"/>
      <c r="B612" s="82"/>
      <c r="C612" s="117"/>
      <c r="E612" s="118"/>
      <c r="F612" s="82"/>
      <c r="G612" s="30"/>
      <c r="H612" s="30"/>
      <c r="I612" s="30"/>
      <c r="J612" s="30"/>
      <c r="K612" s="30"/>
    </row>
    <row r="613" spans="1:11" ht="13.2">
      <c r="A613" s="82"/>
      <c r="B613" s="82"/>
      <c r="C613" s="117"/>
      <c r="E613" s="118"/>
      <c r="F613" s="82"/>
      <c r="G613" s="30"/>
      <c r="H613" s="30"/>
      <c r="I613" s="30"/>
      <c r="J613" s="30"/>
      <c r="K613" s="30"/>
    </row>
    <row r="614" spans="1:11" ht="13.2">
      <c r="A614" s="82"/>
      <c r="B614" s="82"/>
      <c r="C614" s="117"/>
      <c r="E614" s="118"/>
      <c r="F614" s="82"/>
      <c r="G614" s="30"/>
      <c r="H614" s="30"/>
      <c r="I614" s="30"/>
      <c r="J614" s="30"/>
      <c r="K614" s="30"/>
    </row>
    <row r="615" spans="1:11" ht="13.2">
      <c r="A615" s="82"/>
      <c r="B615" s="82"/>
      <c r="C615" s="117"/>
      <c r="E615" s="118"/>
      <c r="F615" s="82"/>
      <c r="G615" s="30"/>
      <c r="H615" s="30"/>
      <c r="I615" s="30"/>
      <c r="J615" s="30"/>
      <c r="K615" s="30"/>
    </row>
    <row r="616" spans="1:11" ht="13.2">
      <c r="A616" s="82"/>
      <c r="B616" s="82"/>
      <c r="C616" s="117"/>
      <c r="E616" s="118"/>
      <c r="F616" s="82"/>
      <c r="G616" s="30"/>
      <c r="H616" s="30"/>
      <c r="I616" s="30"/>
      <c r="J616" s="30"/>
      <c r="K616" s="30"/>
    </row>
    <row r="617" spans="1:11" ht="13.2">
      <c r="A617" s="82"/>
      <c r="B617" s="82"/>
      <c r="C617" s="117"/>
      <c r="E617" s="118"/>
      <c r="F617" s="82"/>
      <c r="G617" s="30"/>
      <c r="H617" s="30"/>
      <c r="I617" s="30"/>
      <c r="J617" s="30"/>
      <c r="K617" s="30"/>
    </row>
    <row r="618" spans="1:11" ht="13.2">
      <c r="A618" s="82"/>
      <c r="B618" s="82"/>
      <c r="C618" s="117"/>
      <c r="E618" s="118"/>
      <c r="F618" s="82"/>
      <c r="G618" s="30"/>
      <c r="H618" s="30"/>
      <c r="I618" s="30"/>
      <c r="J618" s="30"/>
      <c r="K618" s="30"/>
    </row>
    <row r="619" spans="1:11" ht="13.2">
      <c r="A619" s="82"/>
      <c r="B619" s="82"/>
      <c r="C619" s="117"/>
      <c r="E619" s="118"/>
      <c r="F619" s="82"/>
      <c r="G619" s="30"/>
      <c r="H619" s="30"/>
      <c r="I619" s="30"/>
      <c r="J619" s="30"/>
      <c r="K619" s="30"/>
    </row>
    <row r="620" spans="1:11" ht="13.2">
      <c r="A620" s="82"/>
      <c r="B620" s="82"/>
      <c r="C620" s="117"/>
      <c r="E620" s="118"/>
      <c r="F620" s="82"/>
      <c r="G620" s="30"/>
      <c r="H620" s="30"/>
      <c r="I620" s="30"/>
      <c r="J620" s="30"/>
      <c r="K620" s="30"/>
    </row>
    <row r="621" spans="1:11" ht="13.2">
      <c r="A621" s="82"/>
      <c r="B621" s="82"/>
      <c r="C621" s="117"/>
      <c r="E621" s="118"/>
      <c r="F621" s="82"/>
      <c r="G621" s="30"/>
      <c r="H621" s="30"/>
      <c r="I621" s="30"/>
      <c r="J621" s="30"/>
      <c r="K621" s="30"/>
    </row>
    <row r="622" spans="1:11" ht="13.2">
      <c r="A622" s="82"/>
      <c r="B622" s="82"/>
      <c r="C622" s="117"/>
      <c r="E622" s="118"/>
      <c r="F622" s="82"/>
      <c r="G622" s="30"/>
      <c r="H622" s="30"/>
      <c r="I622" s="30"/>
      <c r="J622" s="30"/>
      <c r="K622" s="30"/>
    </row>
    <row r="623" spans="1:11" ht="13.2">
      <c r="A623" s="82"/>
      <c r="B623" s="82"/>
      <c r="C623" s="117"/>
      <c r="E623" s="118"/>
      <c r="F623" s="82"/>
      <c r="G623" s="30"/>
      <c r="H623" s="30"/>
      <c r="I623" s="30"/>
      <c r="J623" s="30"/>
      <c r="K623" s="30"/>
    </row>
    <row r="624" spans="1:11" ht="13.2">
      <c r="A624" s="82"/>
      <c r="B624" s="82"/>
      <c r="C624" s="117"/>
      <c r="E624" s="118"/>
      <c r="F624" s="82"/>
      <c r="G624" s="30"/>
      <c r="H624" s="30"/>
      <c r="I624" s="30"/>
      <c r="J624" s="30"/>
      <c r="K624" s="30"/>
    </row>
    <row r="625" spans="1:11" ht="13.2">
      <c r="A625" s="82"/>
      <c r="B625" s="82"/>
      <c r="C625" s="117"/>
      <c r="E625" s="118"/>
      <c r="F625" s="82"/>
      <c r="G625" s="30"/>
      <c r="H625" s="30"/>
      <c r="I625" s="30"/>
      <c r="J625" s="30"/>
      <c r="K625" s="30"/>
    </row>
    <row r="626" spans="1:11" ht="13.2">
      <c r="A626" s="82"/>
      <c r="B626" s="82"/>
      <c r="C626" s="117"/>
      <c r="E626" s="118"/>
      <c r="F626" s="82"/>
      <c r="G626" s="30"/>
      <c r="H626" s="30"/>
      <c r="I626" s="30"/>
      <c r="J626" s="30"/>
      <c r="K626" s="30"/>
    </row>
    <row r="627" spans="1:11" ht="13.2">
      <c r="A627" s="82"/>
      <c r="B627" s="82"/>
      <c r="C627" s="117"/>
      <c r="E627" s="118"/>
      <c r="F627" s="82"/>
      <c r="G627" s="30"/>
      <c r="H627" s="30"/>
      <c r="I627" s="30"/>
      <c r="J627" s="30"/>
      <c r="K627" s="30"/>
    </row>
    <row r="628" spans="1:11" ht="13.2">
      <c r="A628" s="82"/>
      <c r="B628" s="82"/>
      <c r="C628" s="117"/>
      <c r="E628" s="118"/>
      <c r="F628" s="82"/>
      <c r="G628" s="30"/>
      <c r="H628" s="30"/>
      <c r="I628" s="30"/>
      <c r="J628" s="30"/>
      <c r="K628" s="30"/>
    </row>
    <row r="629" spans="1:11" ht="13.2">
      <c r="A629" s="82"/>
      <c r="B629" s="82"/>
      <c r="C629" s="117"/>
      <c r="E629" s="118"/>
      <c r="F629" s="82"/>
      <c r="G629" s="30"/>
      <c r="H629" s="30"/>
      <c r="I629" s="30"/>
      <c r="J629" s="30"/>
      <c r="K629" s="30"/>
    </row>
    <row r="630" spans="1:11" ht="13.2">
      <c r="A630" s="82"/>
      <c r="B630" s="82"/>
      <c r="C630" s="117"/>
      <c r="E630" s="118"/>
      <c r="F630" s="82"/>
      <c r="G630" s="30"/>
      <c r="H630" s="30"/>
      <c r="I630" s="30"/>
      <c r="J630" s="30"/>
      <c r="K630" s="30"/>
    </row>
    <row r="631" spans="1:11" ht="13.2">
      <c r="A631" s="82"/>
      <c r="B631" s="82"/>
      <c r="C631" s="117"/>
      <c r="E631" s="118"/>
      <c r="F631" s="82"/>
      <c r="G631" s="30"/>
      <c r="H631" s="30"/>
      <c r="I631" s="30"/>
      <c r="J631" s="30"/>
      <c r="K631" s="30"/>
    </row>
    <row r="632" spans="1:11" ht="13.2">
      <c r="A632" s="82"/>
      <c r="B632" s="82"/>
      <c r="C632" s="117"/>
      <c r="E632" s="118"/>
      <c r="F632" s="82"/>
      <c r="G632" s="30"/>
      <c r="H632" s="30"/>
      <c r="I632" s="30"/>
      <c r="J632" s="30"/>
      <c r="K632" s="30"/>
    </row>
    <row r="633" spans="1:11" ht="13.2">
      <c r="A633" s="82"/>
      <c r="B633" s="82"/>
      <c r="C633" s="117"/>
      <c r="E633" s="118"/>
      <c r="F633" s="82"/>
      <c r="G633" s="30"/>
      <c r="H633" s="30"/>
      <c r="I633" s="30"/>
      <c r="J633" s="30"/>
      <c r="K633" s="30"/>
    </row>
    <row r="634" spans="1:11" ht="13.2">
      <c r="A634" s="82"/>
      <c r="B634" s="82"/>
      <c r="C634" s="117"/>
      <c r="E634" s="118"/>
      <c r="F634" s="82"/>
      <c r="G634" s="30"/>
      <c r="H634" s="30"/>
      <c r="I634" s="30"/>
      <c r="J634" s="30"/>
      <c r="K634" s="30"/>
    </row>
    <row r="635" spans="1:11" ht="13.2">
      <c r="A635" s="82"/>
      <c r="B635" s="82"/>
      <c r="C635" s="117"/>
      <c r="E635" s="118"/>
      <c r="F635" s="82"/>
      <c r="G635" s="30"/>
      <c r="H635" s="30"/>
      <c r="I635" s="30"/>
      <c r="J635" s="30"/>
      <c r="K635" s="30"/>
    </row>
    <row r="636" spans="1:11" ht="13.2">
      <c r="A636" s="82"/>
      <c r="B636" s="82"/>
      <c r="C636" s="117"/>
      <c r="E636" s="118"/>
      <c r="F636" s="82"/>
      <c r="G636" s="30"/>
      <c r="H636" s="30"/>
      <c r="I636" s="30"/>
      <c r="J636" s="30"/>
      <c r="K636" s="30"/>
    </row>
    <row r="637" spans="1:11" ht="13.2">
      <c r="A637" s="82"/>
      <c r="B637" s="82"/>
      <c r="C637" s="117"/>
      <c r="E637" s="118"/>
      <c r="F637" s="82"/>
      <c r="G637" s="30"/>
      <c r="H637" s="30"/>
      <c r="I637" s="30"/>
      <c r="J637" s="30"/>
      <c r="K637" s="30"/>
    </row>
    <row r="638" spans="1:11" ht="13.2">
      <c r="A638" s="82"/>
      <c r="B638" s="82"/>
      <c r="C638" s="117"/>
      <c r="E638" s="118"/>
      <c r="F638" s="82"/>
      <c r="G638" s="30"/>
      <c r="H638" s="30"/>
      <c r="I638" s="30"/>
      <c r="J638" s="30"/>
      <c r="K638" s="30"/>
    </row>
    <row r="639" spans="1:11" ht="13.2">
      <c r="A639" s="82"/>
      <c r="B639" s="82"/>
      <c r="C639" s="117"/>
      <c r="E639" s="118"/>
      <c r="F639" s="82"/>
      <c r="G639" s="30"/>
      <c r="H639" s="30"/>
      <c r="I639" s="30"/>
      <c r="J639" s="30"/>
      <c r="K639" s="30"/>
    </row>
    <row r="640" spans="1:11" ht="13.2">
      <c r="A640" s="82"/>
      <c r="B640" s="82"/>
      <c r="C640" s="117"/>
      <c r="E640" s="118"/>
      <c r="F640" s="82"/>
      <c r="G640" s="30"/>
      <c r="H640" s="30"/>
      <c r="I640" s="30"/>
      <c r="J640" s="30"/>
      <c r="K640" s="30"/>
    </row>
    <row r="641" spans="1:11" ht="13.2">
      <c r="A641" s="82"/>
      <c r="B641" s="82"/>
      <c r="C641" s="117"/>
      <c r="E641" s="118"/>
      <c r="F641" s="82"/>
      <c r="G641" s="30"/>
      <c r="H641" s="30"/>
      <c r="I641" s="30"/>
      <c r="J641" s="30"/>
      <c r="K641" s="30"/>
    </row>
    <row r="642" spans="1:11" ht="13.2">
      <c r="A642" s="82"/>
      <c r="B642" s="82"/>
      <c r="C642" s="117"/>
      <c r="E642" s="118"/>
      <c r="F642" s="82"/>
      <c r="G642" s="30"/>
      <c r="H642" s="30"/>
      <c r="I642" s="30"/>
      <c r="J642" s="30"/>
      <c r="K642" s="30"/>
    </row>
    <row r="643" spans="1:11" ht="13.2">
      <c r="A643" s="82"/>
      <c r="B643" s="82"/>
      <c r="C643" s="117"/>
      <c r="E643" s="118"/>
      <c r="F643" s="82"/>
      <c r="G643" s="30"/>
      <c r="H643" s="30"/>
      <c r="I643" s="30"/>
      <c r="J643" s="30"/>
      <c r="K643" s="30"/>
    </row>
    <row r="644" spans="1:11" ht="13.2">
      <c r="A644" s="82"/>
      <c r="B644" s="82"/>
      <c r="C644" s="117"/>
      <c r="E644" s="118"/>
      <c r="F644" s="82"/>
      <c r="G644" s="30"/>
      <c r="H644" s="30"/>
      <c r="I644" s="30"/>
      <c r="J644" s="30"/>
      <c r="K644" s="30"/>
    </row>
    <row r="645" spans="1:11" ht="13.2">
      <c r="A645" s="82"/>
      <c r="B645" s="82"/>
      <c r="C645" s="117"/>
      <c r="E645" s="118"/>
      <c r="F645" s="82"/>
      <c r="G645" s="30"/>
      <c r="H645" s="30"/>
      <c r="I645" s="30"/>
      <c r="J645" s="30"/>
      <c r="K645" s="30"/>
    </row>
    <row r="646" spans="1:11" ht="13.2">
      <c r="A646" s="82"/>
      <c r="B646" s="82"/>
      <c r="C646" s="117"/>
      <c r="E646" s="118"/>
      <c r="F646" s="82"/>
      <c r="G646" s="30"/>
      <c r="H646" s="30"/>
      <c r="I646" s="30"/>
      <c r="J646" s="30"/>
      <c r="K646" s="30"/>
    </row>
    <row r="647" spans="1:11" ht="13.2">
      <c r="A647" s="82"/>
      <c r="B647" s="82"/>
      <c r="C647" s="117"/>
      <c r="E647" s="118"/>
      <c r="F647" s="82"/>
      <c r="G647" s="30"/>
      <c r="H647" s="30"/>
      <c r="I647" s="30"/>
      <c r="J647" s="30"/>
      <c r="K647" s="30"/>
    </row>
    <row r="648" spans="1:11" ht="13.2">
      <c r="A648" s="82"/>
      <c r="B648" s="82"/>
      <c r="C648" s="117"/>
      <c r="E648" s="118"/>
      <c r="F648" s="82"/>
      <c r="G648" s="30"/>
      <c r="H648" s="30"/>
      <c r="I648" s="30"/>
      <c r="J648" s="30"/>
      <c r="K648" s="30"/>
    </row>
    <row r="649" spans="1:11" ht="13.2">
      <c r="A649" s="82"/>
      <c r="B649" s="82"/>
      <c r="C649" s="117"/>
      <c r="E649" s="118"/>
      <c r="F649" s="82"/>
      <c r="G649" s="30"/>
      <c r="H649" s="30"/>
      <c r="I649" s="30"/>
      <c r="J649" s="30"/>
      <c r="K649" s="30"/>
    </row>
    <row r="650" spans="1:11" ht="13.2">
      <c r="A650" s="82"/>
      <c r="B650" s="82"/>
      <c r="C650" s="117"/>
      <c r="E650" s="118"/>
      <c r="F650" s="82"/>
      <c r="G650" s="30"/>
      <c r="H650" s="30"/>
      <c r="I650" s="30"/>
      <c r="J650" s="30"/>
      <c r="K650" s="30"/>
    </row>
    <row r="651" spans="1:11" ht="13.2">
      <c r="A651" s="82"/>
      <c r="B651" s="82"/>
      <c r="C651" s="117"/>
      <c r="E651" s="118"/>
      <c r="F651" s="82"/>
      <c r="G651" s="30"/>
      <c r="H651" s="30"/>
      <c r="I651" s="30"/>
      <c r="J651" s="30"/>
      <c r="K651" s="30"/>
    </row>
    <row r="652" spans="1:11" ht="13.2">
      <c r="A652" s="82"/>
      <c r="B652" s="82"/>
      <c r="C652" s="117"/>
      <c r="E652" s="118"/>
      <c r="F652" s="82"/>
      <c r="G652" s="30"/>
      <c r="H652" s="30"/>
      <c r="I652" s="30"/>
      <c r="J652" s="30"/>
      <c r="K652" s="30"/>
    </row>
    <row r="653" spans="1:11" ht="13.2">
      <c r="A653" s="82"/>
      <c r="B653" s="82"/>
      <c r="C653" s="117"/>
      <c r="E653" s="118"/>
      <c r="F653" s="82"/>
      <c r="G653" s="30"/>
      <c r="H653" s="30"/>
      <c r="I653" s="30"/>
      <c r="J653" s="30"/>
      <c r="K653" s="30"/>
    </row>
    <row r="654" spans="1:11" ht="13.2">
      <c r="A654" s="82"/>
      <c r="B654" s="82"/>
      <c r="C654" s="117"/>
      <c r="E654" s="118"/>
      <c r="F654" s="82"/>
      <c r="G654" s="30"/>
      <c r="H654" s="30"/>
      <c r="I654" s="30"/>
      <c r="J654" s="30"/>
      <c r="K654" s="30"/>
    </row>
    <row r="655" spans="1:11" ht="13.2">
      <c r="A655" s="82"/>
      <c r="B655" s="82"/>
      <c r="C655" s="117"/>
      <c r="E655" s="118"/>
      <c r="F655" s="82"/>
      <c r="G655" s="30"/>
      <c r="H655" s="30"/>
      <c r="I655" s="30"/>
      <c r="J655" s="30"/>
      <c r="K655" s="30"/>
    </row>
    <row r="656" spans="1:11" ht="13.2">
      <c r="A656" s="82"/>
      <c r="B656" s="82"/>
      <c r="C656" s="117"/>
      <c r="E656" s="118"/>
      <c r="F656" s="82"/>
      <c r="G656" s="30"/>
      <c r="H656" s="30"/>
      <c r="I656" s="30"/>
      <c r="J656" s="30"/>
      <c r="K656" s="30"/>
    </row>
    <row r="657" spans="1:11" ht="13.2">
      <c r="A657" s="82"/>
      <c r="B657" s="82"/>
      <c r="C657" s="117"/>
      <c r="E657" s="118"/>
      <c r="F657" s="82"/>
      <c r="G657" s="30"/>
      <c r="H657" s="30"/>
      <c r="I657" s="30"/>
      <c r="J657" s="30"/>
      <c r="K657" s="30"/>
    </row>
    <row r="658" spans="1:11" ht="13.2">
      <c r="A658" s="82"/>
      <c r="B658" s="82"/>
      <c r="C658" s="117"/>
      <c r="E658" s="118"/>
      <c r="F658" s="82"/>
      <c r="G658" s="30"/>
      <c r="H658" s="30"/>
      <c r="I658" s="30"/>
      <c r="J658" s="30"/>
      <c r="K658" s="30"/>
    </row>
    <row r="659" spans="1:11" ht="13.2">
      <c r="A659" s="82"/>
      <c r="B659" s="82"/>
      <c r="C659" s="117"/>
      <c r="E659" s="118"/>
      <c r="F659" s="82"/>
      <c r="G659" s="30"/>
      <c r="H659" s="30"/>
      <c r="I659" s="30"/>
      <c r="J659" s="30"/>
      <c r="K659" s="30"/>
    </row>
    <row r="660" spans="1:11" ht="13.2">
      <c r="A660" s="82"/>
      <c r="B660" s="82"/>
      <c r="C660" s="117"/>
      <c r="E660" s="118"/>
      <c r="F660" s="82"/>
      <c r="G660" s="30"/>
      <c r="H660" s="30"/>
      <c r="I660" s="30"/>
      <c r="J660" s="30"/>
      <c r="K660" s="30"/>
    </row>
    <row r="661" spans="1:11" ht="13.2">
      <c r="A661" s="82"/>
      <c r="B661" s="82"/>
      <c r="C661" s="117"/>
      <c r="E661" s="118"/>
      <c r="F661" s="82"/>
      <c r="G661" s="30"/>
      <c r="H661" s="30"/>
      <c r="I661" s="30"/>
      <c r="J661" s="30"/>
      <c r="K661" s="30"/>
    </row>
    <row r="662" spans="1:11" ht="13.2">
      <c r="A662" s="82"/>
      <c r="B662" s="82"/>
      <c r="C662" s="117"/>
      <c r="E662" s="118"/>
      <c r="F662" s="82"/>
      <c r="G662" s="30"/>
      <c r="H662" s="30"/>
      <c r="I662" s="30"/>
      <c r="J662" s="30"/>
      <c r="K662" s="30"/>
    </row>
    <row r="663" spans="1:11" ht="13.2">
      <c r="A663" s="82"/>
      <c r="B663" s="82"/>
      <c r="C663" s="117"/>
      <c r="E663" s="118"/>
      <c r="F663" s="82"/>
      <c r="G663" s="30"/>
      <c r="H663" s="30"/>
      <c r="I663" s="30"/>
      <c r="J663" s="30"/>
      <c r="K663" s="30"/>
    </row>
    <row r="664" spans="1:11" ht="13.2">
      <c r="A664" s="82"/>
      <c r="B664" s="82"/>
      <c r="C664" s="117"/>
      <c r="E664" s="118"/>
      <c r="F664" s="82"/>
      <c r="G664" s="30"/>
      <c r="H664" s="30"/>
      <c r="I664" s="30"/>
      <c r="J664" s="30"/>
      <c r="K664" s="30"/>
    </row>
    <row r="665" spans="1:11" ht="13.2">
      <c r="A665" s="82"/>
      <c r="B665" s="82"/>
      <c r="C665" s="117"/>
      <c r="E665" s="118"/>
      <c r="F665" s="82"/>
      <c r="G665" s="30"/>
      <c r="H665" s="30"/>
      <c r="I665" s="30"/>
      <c r="J665" s="30"/>
      <c r="K665" s="30"/>
    </row>
    <row r="666" spans="1:11" ht="13.2">
      <c r="A666" s="82"/>
      <c r="B666" s="82"/>
      <c r="C666" s="117"/>
      <c r="E666" s="118"/>
      <c r="F666" s="82"/>
      <c r="G666" s="30"/>
      <c r="H666" s="30"/>
      <c r="I666" s="30"/>
      <c r="J666" s="30"/>
      <c r="K666" s="30"/>
    </row>
    <row r="667" spans="1:11" ht="13.2">
      <c r="A667" s="82"/>
      <c r="B667" s="82"/>
      <c r="C667" s="117"/>
      <c r="E667" s="118"/>
      <c r="F667" s="82"/>
      <c r="G667" s="30"/>
      <c r="H667" s="30"/>
      <c r="I667" s="30"/>
      <c r="J667" s="30"/>
      <c r="K667" s="30"/>
    </row>
    <row r="668" spans="1:11" ht="13.2">
      <c r="A668" s="82"/>
      <c r="B668" s="82"/>
      <c r="C668" s="117"/>
      <c r="E668" s="118"/>
      <c r="F668" s="82"/>
      <c r="G668" s="30"/>
      <c r="H668" s="30"/>
      <c r="I668" s="30"/>
      <c r="J668" s="30"/>
      <c r="K668" s="30"/>
    </row>
    <row r="669" spans="1:11" ht="13.2">
      <c r="A669" s="82"/>
      <c r="B669" s="82"/>
      <c r="C669" s="117"/>
      <c r="E669" s="118"/>
      <c r="F669" s="82"/>
      <c r="G669" s="30"/>
      <c r="H669" s="30"/>
      <c r="I669" s="30"/>
      <c r="J669" s="30"/>
      <c r="K669" s="30"/>
    </row>
    <row r="670" spans="1:11" ht="13.2">
      <c r="A670" s="82"/>
      <c r="B670" s="82"/>
      <c r="C670" s="117"/>
      <c r="E670" s="118"/>
      <c r="F670" s="82"/>
      <c r="G670" s="30"/>
      <c r="H670" s="30"/>
      <c r="I670" s="30"/>
      <c r="J670" s="30"/>
      <c r="K670" s="30"/>
    </row>
    <row r="671" spans="1:11" ht="13.2">
      <c r="A671" s="82"/>
      <c r="B671" s="82"/>
      <c r="C671" s="117"/>
      <c r="E671" s="118"/>
      <c r="F671" s="82"/>
      <c r="G671" s="30"/>
      <c r="H671" s="30"/>
      <c r="I671" s="30"/>
      <c r="J671" s="30"/>
      <c r="K671" s="30"/>
    </row>
    <row r="672" spans="1:11" ht="13.2">
      <c r="A672" s="82"/>
      <c r="B672" s="82"/>
      <c r="C672" s="117"/>
      <c r="E672" s="118"/>
      <c r="F672" s="82"/>
      <c r="G672" s="30"/>
      <c r="H672" s="30"/>
      <c r="I672" s="30"/>
      <c r="J672" s="30"/>
      <c r="K672" s="30"/>
    </row>
    <row r="673" spans="1:11" ht="13.2">
      <c r="A673" s="82"/>
      <c r="B673" s="82"/>
      <c r="C673" s="117"/>
      <c r="E673" s="118"/>
      <c r="F673" s="82"/>
      <c r="G673" s="30"/>
      <c r="H673" s="30"/>
      <c r="I673" s="30"/>
      <c r="J673" s="30"/>
      <c r="K673" s="30"/>
    </row>
    <row r="674" spans="1:11" ht="13.2">
      <c r="A674" s="82"/>
      <c r="B674" s="82"/>
      <c r="C674" s="117"/>
      <c r="E674" s="118"/>
      <c r="F674" s="82"/>
      <c r="G674" s="30"/>
      <c r="H674" s="30"/>
      <c r="I674" s="30"/>
      <c r="J674" s="30"/>
      <c r="K674" s="30"/>
    </row>
    <row r="675" spans="1:11" ht="13.2">
      <c r="A675" s="82"/>
      <c r="B675" s="82"/>
      <c r="C675" s="117"/>
      <c r="E675" s="118"/>
      <c r="F675" s="82"/>
      <c r="G675" s="30"/>
      <c r="H675" s="30"/>
      <c r="I675" s="30"/>
      <c r="J675" s="30"/>
      <c r="K675" s="30"/>
    </row>
    <row r="676" spans="1:11" ht="13.2">
      <c r="A676" s="82"/>
      <c r="B676" s="82"/>
      <c r="C676" s="117"/>
      <c r="E676" s="118"/>
      <c r="F676" s="82"/>
      <c r="G676" s="30"/>
      <c r="H676" s="30"/>
      <c r="I676" s="30"/>
      <c r="J676" s="30"/>
      <c r="K676" s="30"/>
    </row>
    <row r="677" spans="1:11" ht="13.2">
      <c r="A677" s="82"/>
      <c r="B677" s="82"/>
      <c r="C677" s="117"/>
      <c r="E677" s="118"/>
      <c r="F677" s="82"/>
      <c r="G677" s="30"/>
      <c r="H677" s="30"/>
      <c r="I677" s="30"/>
      <c r="J677" s="30"/>
      <c r="K677" s="30"/>
    </row>
    <row r="678" spans="1:11" ht="13.2">
      <c r="A678" s="82"/>
      <c r="B678" s="82"/>
      <c r="C678" s="117"/>
      <c r="E678" s="118"/>
      <c r="F678" s="82"/>
      <c r="G678" s="30"/>
      <c r="H678" s="30"/>
      <c r="I678" s="30"/>
      <c r="J678" s="30"/>
      <c r="K678" s="30"/>
    </row>
    <row r="679" spans="1:11" ht="13.2">
      <c r="A679" s="82"/>
      <c r="B679" s="82"/>
      <c r="C679" s="117"/>
      <c r="E679" s="118"/>
      <c r="F679" s="82"/>
      <c r="G679" s="30"/>
      <c r="H679" s="30"/>
      <c r="I679" s="30"/>
      <c r="J679" s="30"/>
      <c r="K679" s="30"/>
    </row>
    <row r="680" spans="1:11" ht="13.2">
      <c r="A680" s="82"/>
      <c r="B680" s="82"/>
      <c r="C680" s="117"/>
      <c r="E680" s="118"/>
      <c r="F680" s="82"/>
      <c r="G680" s="30"/>
      <c r="H680" s="30"/>
      <c r="I680" s="30"/>
      <c r="J680" s="30"/>
      <c r="K680" s="30"/>
    </row>
    <row r="681" spans="1:11" ht="13.2">
      <c r="A681" s="82"/>
      <c r="B681" s="82"/>
      <c r="C681" s="117"/>
      <c r="E681" s="118"/>
      <c r="F681" s="82"/>
      <c r="G681" s="30"/>
      <c r="H681" s="30"/>
      <c r="I681" s="30"/>
      <c r="J681" s="30"/>
      <c r="K681" s="30"/>
    </row>
    <row r="682" spans="1:11" ht="13.2">
      <c r="A682" s="82"/>
      <c r="B682" s="82"/>
      <c r="C682" s="117"/>
      <c r="E682" s="118"/>
      <c r="F682" s="82"/>
      <c r="G682" s="30"/>
      <c r="H682" s="30"/>
      <c r="I682" s="30"/>
      <c r="J682" s="30"/>
      <c r="K682" s="30"/>
    </row>
    <row r="683" spans="1:11" ht="13.2">
      <c r="A683" s="82"/>
      <c r="B683" s="82"/>
      <c r="C683" s="117"/>
      <c r="E683" s="118"/>
      <c r="F683" s="82"/>
      <c r="G683" s="30"/>
      <c r="H683" s="30"/>
      <c r="I683" s="30"/>
      <c r="J683" s="30"/>
      <c r="K683" s="30"/>
    </row>
    <row r="684" spans="1:11" ht="13.2">
      <c r="A684" s="82"/>
      <c r="B684" s="82"/>
      <c r="C684" s="117"/>
      <c r="E684" s="118"/>
      <c r="F684" s="82"/>
      <c r="G684" s="30"/>
      <c r="H684" s="30"/>
      <c r="I684" s="30"/>
      <c r="J684" s="30"/>
      <c r="K684" s="30"/>
    </row>
    <row r="685" spans="1:11" ht="13.2">
      <c r="A685" s="82"/>
      <c r="B685" s="82"/>
      <c r="C685" s="117"/>
      <c r="E685" s="118"/>
      <c r="F685" s="82"/>
      <c r="G685" s="30"/>
      <c r="H685" s="30"/>
      <c r="I685" s="30"/>
      <c r="J685" s="30"/>
      <c r="K685" s="30"/>
    </row>
    <row r="686" spans="1:11" ht="13.2">
      <c r="A686" s="82"/>
      <c r="B686" s="82"/>
      <c r="C686" s="117"/>
      <c r="E686" s="118"/>
      <c r="F686" s="82"/>
      <c r="G686" s="30"/>
      <c r="H686" s="30"/>
      <c r="I686" s="30"/>
      <c r="J686" s="30"/>
      <c r="K686" s="30"/>
    </row>
    <row r="687" spans="1:11" ht="13.2">
      <c r="A687" s="82"/>
      <c r="B687" s="82"/>
      <c r="C687" s="117"/>
      <c r="E687" s="118"/>
      <c r="F687" s="82"/>
      <c r="G687" s="30"/>
      <c r="H687" s="30"/>
      <c r="I687" s="30"/>
      <c r="J687" s="30"/>
      <c r="K687" s="30"/>
    </row>
    <row r="688" spans="1:11" ht="13.2">
      <c r="A688" s="82"/>
      <c r="B688" s="82"/>
      <c r="C688" s="117"/>
      <c r="E688" s="118"/>
      <c r="F688" s="82"/>
      <c r="G688" s="30"/>
      <c r="H688" s="30"/>
      <c r="I688" s="30"/>
      <c r="J688" s="30"/>
      <c r="K688" s="30"/>
    </row>
    <row r="689" spans="1:11" ht="13.2">
      <c r="A689" s="82"/>
      <c r="B689" s="82"/>
      <c r="C689" s="117"/>
      <c r="E689" s="118"/>
      <c r="F689" s="82"/>
      <c r="G689" s="30"/>
      <c r="H689" s="30"/>
      <c r="I689" s="30"/>
      <c r="J689" s="30"/>
      <c r="K689" s="30"/>
    </row>
    <row r="690" spans="1:11" ht="13.2">
      <c r="A690" s="82"/>
      <c r="B690" s="82"/>
      <c r="C690" s="117"/>
      <c r="E690" s="118"/>
      <c r="F690" s="82"/>
      <c r="G690" s="30"/>
      <c r="H690" s="30"/>
      <c r="I690" s="30"/>
      <c r="J690" s="30"/>
      <c r="K690" s="30"/>
    </row>
    <row r="691" spans="1:11" ht="13.2">
      <c r="A691" s="82"/>
      <c r="B691" s="82"/>
      <c r="C691" s="117"/>
      <c r="E691" s="118"/>
      <c r="F691" s="82"/>
      <c r="G691" s="30"/>
      <c r="H691" s="30"/>
      <c r="I691" s="30"/>
      <c r="J691" s="30"/>
      <c r="K691" s="30"/>
    </row>
    <row r="692" spans="1:11" ht="13.2">
      <c r="A692" s="82"/>
      <c r="B692" s="82"/>
      <c r="C692" s="117"/>
      <c r="E692" s="118"/>
      <c r="F692" s="82"/>
      <c r="G692" s="30"/>
      <c r="H692" s="30"/>
      <c r="I692" s="30"/>
      <c r="J692" s="30"/>
      <c r="K692" s="30"/>
    </row>
    <row r="693" spans="1:11" ht="13.2">
      <c r="A693" s="82"/>
      <c r="B693" s="82"/>
      <c r="C693" s="117"/>
      <c r="E693" s="118"/>
      <c r="F693" s="82"/>
      <c r="G693" s="30"/>
      <c r="H693" s="30"/>
      <c r="I693" s="30"/>
      <c r="J693" s="30"/>
      <c r="K693" s="30"/>
    </row>
    <row r="694" spans="1:11" ht="13.2">
      <c r="A694" s="82"/>
      <c r="B694" s="82"/>
      <c r="C694" s="117"/>
      <c r="E694" s="118"/>
      <c r="F694" s="82"/>
      <c r="G694" s="30"/>
      <c r="H694" s="30"/>
      <c r="I694" s="30"/>
      <c r="J694" s="30"/>
      <c r="K694" s="30"/>
    </row>
    <row r="695" spans="1:11" ht="13.2">
      <c r="A695" s="82"/>
      <c r="B695" s="82"/>
      <c r="C695" s="117"/>
      <c r="E695" s="118"/>
      <c r="F695" s="82"/>
      <c r="G695" s="30"/>
      <c r="H695" s="30"/>
      <c r="I695" s="30"/>
      <c r="J695" s="30"/>
      <c r="K695" s="30"/>
    </row>
    <row r="696" spans="1:11" ht="13.2">
      <c r="A696" s="82"/>
      <c r="B696" s="82"/>
      <c r="C696" s="117"/>
      <c r="E696" s="118"/>
      <c r="F696" s="82"/>
      <c r="G696" s="30"/>
      <c r="H696" s="30"/>
      <c r="I696" s="30"/>
      <c r="J696" s="30"/>
      <c r="K696" s="30"/>
    </row>
    <row r="697" spans="1:11" ht="13.2">
      <c r="A697" s="82"/>
      <c r="B697" s="82"/>
      <c r="C697" s="117"/>
      <c r="E697" s="118"/>
      <c r="F697" s="82"/>
      <c r="G697" s="30"/>
      <c r="H697" s="30"/>
      <c r="I697" s="30"/>
      <c r="J697" s="30"/>
      <c r="K697" s="30"/>
    </row>
    <row r="698" spans="1:11" ht="13.2">
      <c r="A698" s="82"/>
      <c r="B698" s="82"/>
      <c r="C698" s="117"/>
      <c r="E698" s="118"/>
      <c r="F698" s="82"/>
      <c r="G698" s="30"/>
      <c r="H698" s="30"/>
      <c r="I698" s="30"/>
      <c r="J698" s="30"/>
      <c r="K698" s="30"/>
    </row>
    <row r="699" spans="1:11" ht="13.2">
      <c r="A699" s="82"/>
      <c r="B699" s="82"/>
      <c r="C699" s="117"/>
      <c r="E699" s="118"/>
      <c r="F699" s="82"/>
      <c r="G699" s="30"/>
      <c r="H699" s="30"/>
      <c r="I699" s="30"/>
      <c r="J699" s="30"/>
      <c r="K699" s="30"/>
    </row>
    <row r="700" spans="1:11" ht="13.2">
      <c r="A700" s="82"/>
      <c r="B700" s="82"/>
      <c r="C700" s="117"/>
      <c r="E700" s="118"/>
      <c r="F700" s="82"/>
      <c r="G700" s="30"/>
      <c r="H700" s="30"/>
      <c r="I700" s="30"/>
      <c r="J700" s="30"/>
      <c r="K700" s="30"/>
    </row>
    <row r="701" spans="1:11" ht="13.2">
      <c r="A701" s="82"/>
      <c r="B701" s="82"/>
      <c r="C701" s="117"/>
      <c r="E701" s="118"/>
      <c r="F701" s="82"/>
      <c r="G701" s="30"/>
      <c r="H701" s="30"/>
      <c r="I701" s="30"/>
      <c r="J701" s="30"/>
      <c r="K701" s="30"/>
    </row>
    <row r="702" spans="1:11" ht="13.2">
      <c r="A702" s="82"/>
      <c r="B702" s="82"/>
      <c r="C702" s="117"/>
      <c r="E702" s="118"/>
      <c r="F702" s="82"/>
      <c r="G702" s="30"/>
      <c r="H702" s="30"/>
      <c r="I702" s="30"/>
      <c r="J702" s="30"/>
      <c r="K702" s="30"/>
    </row>
    <row r="703" spans="1:11" ht="13.2">
      <c r="A703" s="82"/>
      <c r="B703" s="82"/>
      <c r="C703" s="117"/>
      <c r="E703" s="118"/>
      <c r="F703" s="82"/>
      <c r="G703" s="30"/>
      <c r="H703" s="30"/>
      <c r="I703" s="30"/>
      <c r="J703" s="30"/>
      <c r="K703" s="30"/>
    </row>
    <row r="704" spans="1:11" ht="13.2">
      <c r="A704" s="82"/>
      <c r="B704" s="82"/>
      <c r="C704" s="117"/>
      <c r="E704" s="118"/>
      <c r="F704" s="82"/>
      <c r="G704" s="30"/>
      <c r="H704" s="30"/>
      <c r="I704" s="30"/>
      <c r="J704" s="30"/>
      <c r="K704" s="30"/>
    </row>
    <row r="705" spans="1:11" ht="13.2">
      <c r="A705" s="82"/>
      <c r="B705" s="82"/>
      <c r="C705" s="117"/>
      <c r="E705" s="118"/>
      <c r="F705" s="82"/>
      <c r="G705" s="30"/>
      <c r="H705" s="30"/>
      <c r="I705" s="30"/>
      <c r="J705" s="30"/>
      <c r="K705" s="30"/>
    </row>
    <row r="706" spans="1:11" ht="13.2">
      <c r="A706" s="82"/>
      <c r="B706" s="82"/>
      <c r="C706" s="117"/>
      <c r="E706" s="118"/>
      <c r="F706" s="82"/>
      <c r="G706" s="30"/>
      <c r="H706" s="30"/>
      <c r="I706" s="30"/>
      <c r="J706" s="30"/>
      <c r="K706" s="30"/>
    </row>
    <row r="707" spans="1:11" ht="13.2">
      <c r="A707" s="82"/>
      <c r="B707" s="82"/>
      <c r="C707" s="117"/>
      <c r="E707" s="118"/>
      <c r="F707" s="82"/>
      <c r="G707" s="30"/>
      <c r="H707" s="30"/>
      <c r="I707" s="30"/>
      <c r="J707" s="30"/>
      <c r="K707" s="30"/>
    </row>
    <row r="708" spans="1:11" ht="13.2">
      <c r="A708" s="82"/>
      <c r="B708" s="82"/>
      <c r="C708" s="117"/>
      <c r="E708" s="118"/>
      <c r="F708" s="82"/>
      <c r="G708" s="30"/>
      <c r="H708" s="30"/>
      <c r="I708" s="30"/>
      <c r="J708" s="30"/>
      <c r="K708" s="30"/>
    </row>
    <row r="709" spans="1:11" ht="13.2">
      <c r="A709" s="82"/>
      <c r="B709" s="82"/>
      <c r="C709" s="117"/>
      <c r="E709" s="118"/>
      <c r="F709" s="82"/>
      <c r="G709" s="30"/>
      <c r="H709" s="30"/>
      <c r="I709" s="30"/>
      <c r="J709" s="30"/>
      <c r="K709" s="30"/>
    </row>
    <row r="710" spans="1:11" ht="13.2">
      <c r="A710" s="82"/>
      <c r="B710" s="82"/>
      <c r="C710" s="117"/>
      <c r="E710" s="118"/>
      <c r="F710" s="82"/>
      <c r="G710" s="30"/>
      <c r="H710" s="30"/>
      <c r="I710" s="30"/>
      <c r="J710" s="30"/>
      <c r="K710" s="30"/>
    </row>
    <row r="711" spans="1:11" ht="13.2">
      <c r="A711" s="82"/>
      <c r="B711" s="82"/>
      <c r="C711" s="117"/>
      <c r="E711" s="118"/>
      <c r="F711" s="82"/>
      <c r="G711" s="30"/>
      <c r="H711" s="30"/>
      <c r="I711" s="30"/>
      <c r="J711" s="30"/>
      <c r="K711" s="30"/>
    </row>
    <row r="712" spans="1:11" ht="13.2">
      <c r="A712" s="82"/>
      <c r="B712" s="82"/>
      <c r="C712" s="117"/>
      <c r="E712" s="118"/>
      <c r="F712" s="82"/>
      <c r="G712" s="30"/>
      <c r="H712" s="30"/>
      <c r="I712" s="30"/>
      <c r="J712" s="30"/>
      <c r="K712" s="30"/>
    </row>
    <row r="713" spans="1:11" ht="13.2">
      <c r="A713" s="82"/>
      <c r="B713" s="82"/>
      <c r="C713" s="117"/>
      <c r="E713" s="118"/>
      <c r="F713" s="82"/>
      <c r="G713" s="30"/>
      <c r="H713" s="30"/>
      <c r="I713" s="30"/>
      <c r="J713" s="30"/>
      <c r="K713" s="30"/>
    </row>
    <row r="714" spans="1:11" ht="13.2">
      <c r="A714" s="82"/>
      <c r="B714" s="82"/>
      <c r="C714" s="117"/>
      <c r="E714" s="118"/>
      <c r="F714" s="82"/>
      <c r="G714" s="30"/>
      <c r="H714" s="30"/>
      <c r="I714" s="30"/>
      <c r="J714" s="30"/>
      <c r="K714" s="30"/>
    </row>
    <row r="715" spans="1:11" ht="13.2">
      <c r="A715" s="82"/>
      <c r="B715" s="82"/>
      <c r="C715" s="117"/>
      <c r="E715" s="118"/>
      <c r="F715" s="82"/>
      <c r="G715" s="30"/>
      <c r="H715" s="30"/>
      <c r="I715" s="30"/>
      <c r="J715" s="30"/>
      <c r="K715" s="30"/>
    </row>
    <row r="716" spans="1:11" ht="13.2">
      <c r="A716" s="82"/>
      <c r="B716" s="82"/>
      <c r="C716" s="117"/>
      <c r="E716" s="118"/>
      <c r="F716" s="82"/>
      <c r="G716" s="30"/>
      <c r="H716" s="30"/>
      <c r="I716" s="30"/>
      <c r="J716" s="30"/>
      <c r="K716" s="30"/>
    </row>
    <row r="717" spans="1:11" ht="13.2">
      <c r="A717" s="82"/>
      <c r="B717" s="82"/>
      <c r="C717" s="117"/>
      <c r="E717" s="118"/>
      <c r="F717" s="82"/>
      <c r="G717" s="30"/>
      <c r="H717" s="30"/>
      <c r="I717" s="30"/>
      <c r="J717" s="30"/>
      <c r="K717" s="30"/>
    </row>
    <row r="718" spans="1:11" ht="13.2">
      <c r="A718" s="82"/>
      <c r="B718" s="82"/>
      <c r="C718" s="117"/>
      <c r="E718" s="118"/>
      <c r="F718" s="82"/>
      <c r="G718" s="30"/>
      <c r="H718" s="30"/>
      <c r="I718" s="30"/>
      <c r="J718" s="30"/>
      <c r="K718" s="30"/>
    </row>
    <row r="719" spans="1:11" ht="13.2">
      <c r="A719" s="82"/>
      <c r="B719" s="82"/>
      <c r="C719" s="117"/>
      <c r="E719" s="118"/>
      <c r="F719" s="82"/>
      <c r="G719" s="30"/>
      <c r="H719" s="30"/>
      <c r="I719" s="30"/>
      <c r="J719" s="30"/>
      <c r="K719" s="30"/>
    </row>
    <row r="720" spans="1:11" ht="13.2">
      <c r="A720" s="82"/>
      <c r="B720" s="82"/>
      <c r="C720" s="117"/>
      <c r="E720" s="118"/>
      <c r="F720" s="82"/>
      <c r="G720" s="30"/>
      <c r="H720" s="30"/>
      <c r="I720" s="30"/>
      <c r="J720" s="30"/>
      <c r="K720" s="30"/>
    </row>
    <row r="721" spans="1:11" ht="13.2">
      <c r="A721" s="82"/>
      <c r="B721" s="82"/>
      <c r="C721" s="117"/>
      <c r="E721" s="118"/>
      <c r="F721" s="82"/>
      <c r="G721" s="30"/>
      <c r="H721" s="30"/>
      <c r="I721" s="30"/>
      <c r="J721" s="30"/>
      <c r="K721" s="30"/>
    </row>
    <row r="722" spans="1:11" ht="13.2">
      <c r="A722" s="82"/>
      <c r="B722" s="82"/>
      <c r="C722" s="117"/>
      <c r="E722" s="118"/>
      <c r="F722" s="82"/>
      <c r="G722" s="30"/>
      <c r="H722" s="30"/>
      <c r="I722" s="30"/>
      <c r="J722" s="30"/>
      <c r="K722" s="30"/>
    </row>
    <row r="723" spans="1:11" ht="13.2">
      <c r="A723" s="82"/>
      <c r="B723" s="82"/>
      <c r="C723" s="117"/>
      <c r="E723" s="118"/>
      <c r="F723" s="82"/>
      <c r="G723" s="30"/>
      <c r="H723" s="30"/>
      <c r="I723" s="30"/>
      <c r="J723" s="30"/>
      <c r="K723" s="30"/>
    </row>
    <row r="724" spans="1:11" ht="13.2">
      <c r="A724" s="82"/>
      <c r="B724" s="82"/>
      <c r="C724" s="117"/>
      <c r="E724" s="118"/>
      <c r="F724" s="82"/>
      <c r="G724" s="30"/>
      <c r="H724" s="30"/>
      <c r="I724" s="30"/>
      <c r="J724" s="30"/>
      <c r="K724" s="30"/>
    </row>
    <row r="725" spans="1:11" ht="13.2">
      <c r="A725" s="82"/>
      <c r="B725" s="82"/>
      <c r="C725" s="117"/>
      <c r="E725" s="118"/>
      <c r="F725" s="82"/>
      <c r="G725" s="30"/>
      <c r="H725" s="30"/>
      <c r="I725" s="30"/>
      <c r="J725" s="30"/>
      <c r="K725" s="30"/>
    </row>
    <row r="726" spans="1:11" ht="13.2">
      <c r="A726" s="82"/>
      <c r="B726" s="82"/>
      <c r="C726" s="117"/>
      <c r="E726" s="118"/>
      <c r="F726" s="82"/>
      <c r="G726" s="30"/>
      <c r="H726" s="30"/>
      <c r="I726" s="30"/>
      <c r="J726" s="30"/>
      <c r="K726" s="30"/>
    </row>
    <row r="727" spans="1:11" ht="13.2">
      <c r="A727" s="82"/>
      <c r="B727" s="82"/>
      <c r="C727" s="117"/>
      <c r="E727" s="118"/>
      <c r="F727" s="82"/>
      <c r="G727" s="30"/>
      <c r="H727" s="30"/>
      <c r="I727" s="30"/>
      <c r="J727" s="30"/>
      <c r="K727" s="30"/>
    </row>
    <row r="728" spans="1:11" ht="13.2">
      <c r="A728" s="82"/>
      <c r="B728" s="82"/>
      <c r="C728" s="117"/>
      <c r="E728" s="118"/>
      <c r="F728" s="82"/>
      <c r="G728" s="30"/>
      <c r="H728" s="30"/>
      <c r="I728" s="30"/>
      <c r="J728" s="30"/>
      <c r="K728" s="30"/>
    </row>
    <row r="729" spans="1:11" ht="13.2">
      <c r="A729" s="82"/>
      <c r="B729" s="82"/>
      <c r="C729" s="117"/>
      <c r="E729" s="118"/>
      <c r="F729" s="82"/>
      <c r="G729" s="30"/>
      <c r="H729" s="30"/>
      <c r="I729" s="30"/>
      <c r="J729" s="30"/>
      <c r="K729" s="30"/>
    </row>
    <row r="730" spans="1:11" ht="13.2">
      <c r="A730" s="82"/>
      <c r="B730" s="82"/>
      <c r="C730" s="117"/>
      <c r="E730" s="118"/>
      <c r="F730" s="82"/>
      <c r="G730" s="30"/>
      <c r="H730" s="30"/>
      <c r="I730" s="30"/>
      <c r="J730" s="30"/>
      <c r="K730" s="30"/>
    </row>
    <row r="731" spans="1:11" ht="13.2">
      <c r="A731" s="82"/>
      <c r="B731" s="82"/>
      <c r="C731" s="117"/>
      <c r="E731" s="118"/>
      <c r="F731" s="82"/>
      <c r="G731" s="30"/>
      <c r="H731" s="30"/>
      <c r="I731" s="30"/>
      <c r="J731" s="30"/>
      <c r="K731" s="30"/>
    </row>
    <row r="732" spans="1:11" ht="13.2">
      <c r="A732" s="82"/>
      <c r="B732" s="82"/>
      <c r="C732" s="117"/>
      <c r="E732" s="118"/>
      <c r="F732" s="82"/>
      <c r="G732" s="30"/>
      <c r="H732" s="30"/>
      <c r="I732" s="30"/>
      <c r="J732" s="30"/>
      <c r="K732" s="30"/>
    </row>
    <row r="733" spans="1:11" ht="13.2">
      <c r="A733" s="82"/>
      <c r="B733" s="82"/>
      <c r="C733" s="117"/>
      <c r="E733" s="118"/>
      <c r="F733" s="82"/>
      <c r="G733" s="30"/>
      <c r="H733" s="30"/>
      <c r="I733" s="30"/>
      <c r="J733" s="30"/>
      <c r="K733" s="30"/>
    </row>
    <row r="734" spans="1:11" ht="13.2">
      <c r="A734" s="82"/>
      <c r="B734" s="82"/>
      <c r="C734" s="117"/>
      <c r="E734" s="118"/>
      <c r="F734" s="82"/>
      <c r="G734" s="30"/>
      <c r="H734" s="30"/>
      <c r="I734" s="30"/>
      <c r="J734" s="30"/>
      <c r="K734" s="30"/>
    </row>
    <row r="735" spans="1:11" ht="13.2">
      <c r="A735" s="82"/>
      <c r="B735" s="82"/>
      <c r="C735" s="117"/>
      <c r="E735" s="118"/>
      <c r="F735" s="82"/>
      <c r="G735" s="30"/>
      <c r="H735" s="30"/>
      <c r="I735" s="30"/>
      <c r="J735" s="30"/>
      <c r="K735" s="30"/>
    </row>
    <row r="736" spans="1:11" ht="13.2">
      <c r="A736" s="82"/>
      <c r="B736" s="82"/>
      <c r="C736" s="117"/>
      <c r="E736" s="118"/>
      <c r="F736" s="82"/>
      <c r="G736" s="30"/>
      <c r="H736" s="30"/>
      <c r="I736" s="30"/>
      <c r="J736" s="30"/>
      <c r="K736" s="30"/>
    </row>
    <row r="737" spans="1:11" ht="13.2">
      <c r="A737" s="82"/>
      <c r="B737" s="82"/>
      <c r="C737" s="117"/>
      <c r="E737" s="118"/>
      <c r="F737" s="82"/>
      <c r="G737" s="30"/>
      <c r="H737" s="30"/>
      <c r="I737" s="30"/>
      <c r="J737" s="30"/>
      <c r="K737" s="30"/>
    </row>
    <row r="738" spans="1:11" ht="13.2">
      <c r="A738" s="82"/>
      <c r="B738" s="82"/>
      <c r="C738" s="117"/>
      <c r="E738" s="118"/>
      <c r="F738" s="82"/>
      <c r="G738" s="30"/>
      <c r="H738" s="30"/>
      <c r="I738" s="30"/>
      <c r="J738" s="30"/>
      <c r="K738" s="30"/>
    </row>
    <row r="739" spans="1:11" ht="13.2">
      <c r="A739" s="82"/>
      <c r="B739" s="82"/>
      <c r="C739" s="117"/>
      <c r="E739" s="118"/>
      <c r="F739" s="82"/>
      <c r="G739" s="30"/>
      <c r="H739" s="30"/>
      <c r="I739" s="30"/>
      <c r="J739" s="30"/>
      <c r="K739" s="30"/>
    </row>
    <row r="740" spans="1:11" ht="13.2">
      <c r="A740" s="82"/>
      <c r="B740" s="82"/>
      <c r="C740" s="117"/>
      <c r="E740" s="118"/>
      <c r="F740" s="82"/>
      <c r="G740" s="30"/>
      <c r="H740" s="30"/>
      <c r="I740" s="30"/>
      <c r="J740" s="30"/>
      <c r="K740" s="30"/>
    </row>
    <row r="741" spans="1:11" ht="13.2">
      <c r="A741" s="82"/>
      <c r="B741" s="82"/>
      <c r="C741" s="117"/>
      <c r="E741" s="118"/>
      <c r="F741" s="82"/>
      <c r="G741" s="30"/>
      <c r="H741" s="30"/>
      <c r="I741" s="30"/>
      <c r="J741" s="30"/>
      <c r="K741" s="30"/>
    </row>
    <row r="742" spans="1:11" ht="13.2">
      <c r="A742" s="82"/>
      <c r="B742" s="82"/>
      <c r="C742" s="117"/>
      <c r="E742" s="118"/>
      <c r="F742" s="82"/>
      <c r="G742" s="30"/>
      <c r="H742" s="30"/>
      <c r="I742" s="30"/>
      <c r="J742" s="30"/>
      <c r="K742" s="30"/>
    </row>
    <row r="743" spans="1:11" ht="13.2">
      <c r="A743" s="82"/>
      <c r="B743" s="82"/>
      <c r="C743" s="117"/>
      <c r="E743" s="118"/>
      <c r="F743" s="82"/>
      <c r="G743" s="30"/>
      <c r="H743" s="30"/>
      <c r="I743" s="30"/>
      <c r="J743" s="30"/>
      <c r="K743" s="30"/>
    </row>
    <row r="744" spans="1:11" ht="13.2">
      <c r="A744" s="82"/>
      <c r="B744" s="82"/>
      <c r="C744" s="117"/>
      <c r="E744" s="118"/>
      <c r="F744" s="82"/>
      <c r="G744" s="30"/>
      <c r="H744" s="30"/>
      <c r="I744" s="30"/>
      <c r="J744" s="30"/>
      <c r="K744" s="30"/>
    </row>
    <row r="745" spans="1:11" ht="13.2">
      <c r="A745" s="82"/>
      <c r="B745" s="82"/>
      <c r="C745" s="117"/>
      <c r="E745" s="118"/>
      <c r="F745" s="82"/>
      <c r="G745" s="30"/>
      <c r="H745" s="30"/>
      <c r="I745" s="30"/>
      <c r="J745" s="30"/>
      <c r="K745" s="30"/>
    </row>
    <row r="746" spans="1:11" ht="13.2">
      <c r="A746" s="82"/>
      <c r="B746" s="82"/>
      <c r="C746" s="117"/>
      <c r="E746" s="118"/>
      <c r="F746" s="82"/>
      <c r="G746" s="30"/>
      <c r="H746" s="30"/>
      <c r="I746" s="30"/>
      <c r="J746" s="30"/>
      <c r="K746" s="30"/>
    </row>
    <row r="747" spans="1:11" ht="13.2">
      <c r="A747" s="82"/>
      <c r="B747" s="82"/>
      <c r="C747" s="117"/>
      <c r="E747" s="118"/>
      <c r="F747" s="82"/>
      <c r="G747" s="30"/>
      <c r="H747" s="30"/>
      <c r="I747" s="30"/>
      <c r="J747" s="30"/>
      <c r="K747" s="30"/>
    </row>
    <row r="748" spans="1:11" ht="13.2">
      <c r="A748" s="82"/>
      <c r="B748" s="82"/>
      <c r="C748" s="117"/>
      <c r="E748" s="118"/>
      <c r="F748" s="82"/>
      <c r="G748" s="30"/>
      <c r="H748" s="30"/>
      <c r="I748" s="30"/>
      <c r="J748" s="30"/>
      <c r="K748" s="30"/>
    </row>
    <row r="749" spans="1:11" ht="13.2">
      <c r="A749" s="82"/>
      <c r="B749" s="82"/>
      <c r="C749" s="117"/>
      <c r="E749" s="118"/>
      <c r="F749" s="82"/>
      <c r="G749" s="30"/>
      <c r="H749" s="30"/>
      <c r="I749" s="30"/>
      <c r="J749" s="30"/>
      <c r="K749" s="30"/>
    </row>
    <row r="750" spans="1:11" ht="13.2">
      <c r="A750" s="82"/>
      <c r="B750" s="82"/>
      <c r="C750" s="117"/>
      <c r="E750" s="118"/>
      <c r="F750" s="82"/>
      <c r="G750" s="30"/>
      <c r="H750" s="30"/>
      <c r="I750" s="30"/>
      <c r="J750" s="30"/>
      <c r="K750" s="30"/>
    </row>
    <row r="751" spans="1:11" ht="13.2">
      <c r="A751" s="82"/>
      <c r="B751" s="82"/>
      <c r="C751" s="117"/>
      <c r="E751" s="118"/>
      <c r="F751" s="82"/>
      <c r="G751" s="30"/>
      <c r="H751" s="30"/>
      <c r="I751" s="30"/>
      <c r="J751" s="30"/>
      <c r="K751" s="30"/>
    </row>
    <row r="752" spans="1:11" ht="13.2">
      <c r="A752" s="82"/>
      <c r="B752" s="82"/>
      <c r="C752" s="117"/>
      <c r="E752" s="118"/>
      <c r="F752" s="82"/>
      <c r="G752" s="30"/>
      <c r="H752" s="30"/>
      <c r="I752" s="30"/>
      <c r="J752" s="30"/>
      <c r="K752" s="30"/>
    </row>
    <row r="753" spans="1:11" ht="13.2">
      <c r="A753" s="82"/>
      <c r="B753" s="82"/>
      <c r="C753" s="117"/>
      <c r="E753" s="118"/>
      <c r="F753" s="82"/>
      <c r="G753" s="30"/>
      <c r="H753" s="30"/>
      <c r="I753" s="30"/>
      <c r="J753" s="30"/>
      <c r="K753" s="30"/>
    </row>
    <row r="754" spans="1:11" ht="13.2">
      <c r="A754" s="82"/>
      <c r="B754" s="82"/>
      <c r="C754" s="117"/>
      <c r="E754" s="118"/>
      <c r="F754" s="82"/>
      <c r="G754" s="30"/>
      <c r="H754" s="30"/>
      <c r="I754" s="30"/>
      <c r="J754" s="30"/>
      <c r="K754" s="30"/>
    </row>
    <row r="755" spans="1:11" ht="13.2">
      <c r="A755" s="82"/>
      <c r="B755" s="82"/>
      <c r="C755" s="117"/>
      <c r="E755" s="118"/>
      <c r="F755" s="82"/>
      <c r="G755" s="30"/>
      <c r="H755" s="30"/>
      <c r="I755" s="30"/>
      <c r="J755" s="30"/>
      <c r="K755" s="30"/>
    </row>
    <row r="756" spans="1:11" ht="13.2">
      <c r="A756" s="82"/>
      <c r="B756" s="82"/>
      <c r="C756" s="117"/>
      <c r="E756" s="118"/>
      <c r="F756" s="82"/>
      <c r="G756" s="30"/>
      <c r="H756" s="30"/>
      <c r="I756" s="30"/>
      <c r="J756" s="30"/>
      <c r="K756" s="30"/>
    </row>
    <row r="757" spans="1:11" ht="13.2">
      <c r="A757" s="82"/>
      <c r="B757" s="82"/>
      <c r="C757" s="117"/>
      <c r="E757" s="118"/>
      <c r="F757" s="82"/>
      <c r="G757" s="30"/>
      <c r="H757" s="30"/>
      <c r="I757" s="30"/>
      <c r="J757" s="30"/>
      <c r="K757" s="30"/>
    </row>
    <row r="758" spans="1:11" ht="13.2">
      <c r="A758" s="82"/>
      <c r="B758" s="82"/>
      <c r="C758" s="117"/>
      <c r="E758" s="118"/>
      <c r="F758" s="82"/>
      <c r="G758" s="30"/>
      <c r="H758" s="30"/>
      <c r="I758" s="30"/>
      <c r="J758" s="30"/>
      <c r="K758" s="30"/>
    </row>
    <row r="759" spans="1:11" ht="13.2">
      <c r="A759" s="82"/>
      <c r="B759" s="82"/>
      <c r="C759" s="117"/>
      <c r="E759" s="118"/>
      <c r="F759" s="82"/>
      <c r="G759" s="30"/>
      <c r="H759" s="30"/>
      <c r="I759" s="30"/>
      <c r="J759" s="30"/>
      <c r="K759" s="30"/>
    </row>
    <row r="760" spans="1:11" ht="13.2">
      <c r="A760" s="82"/>
      <c r="B760" s="82"/>
      <c r="C760" s="117"/>
      <c r="E760" s="118"/>
      <c r="F760" s="82"/>
      <c r="G760" s="30"/>
      <c r="H760" s="30"/>
      <c r="I760" s="30"/>
      <c r="J760" s="30"/>
      <c r="K760" s="30"/>
    </row>
    <row r="761" spans="1:11" ht="13.2">
      <c r="A761" s="82"/>
      <c r="B761" s="82"/>
      <c r="C761" s="117"/>
      <c r="E761" s="118"/>
      <c r="F761" s="82"/>
      <c r="G761" s="30"/>
      <c r="H761" s="30"/>
      <c r="I761" s="30"/>
      <c r="J761" s="30"/>
      <c r="K761" s="30"/>
    </row>
    <row r="762" spans="1:11" ht="13.2">
      <c r="A762" s="82"/>
      <c r="B762" s="82"/>
      <c r="C762" s="117"/>
      <c r="E762" s="118"/>
      <c r="F762" s="82"/>
      <c r="G762" s="30"/>
      <c r="H762" s="30"/>
      <c r="I762" s="30"/>
      <c r="J762" s="30"/>
      <c r="K762" s="30"/>
    </row>
    <row r="763" spans="1:11" ht="13.2">
      <c r="A763" s="82"/>
      <c r="B763" s="82"/>
      <c r="C763" s="117"/>
      <c r="E763" s="118"/>
      <c r="F763" s="82"/>
      <c r="G763" s="30"/>
      <c r="H763" s="30"/>
      <c r="I763" s="30"/>
      <c r="J763" s="30"/>
      <c r="K763" s="30"/>
    </row>
    <row r="764" spans="1:11" ht="13.2">
      <c r="A764" s="82"/>
      <c r="B764" s="82"/>
      <c r="C764" s="117"/>
      <c r="E764" s="118"/>
      <c r="F764" s="82"/>
      <c r="G764" s="30"/>
      <c r="H764" s="30"/>
      <c r="I764" s="30"/>
      <c r="J764" s="30"/>
      <c r="K764" s="30"/>
    </row>
    <row r="765" spans="1:11" ht="13.2">
      <c r="A765" s="82"/>
      <c r="B765" s="82"/>
      <c r="C765" s="117"/>
      <c r="E765" s="118"/>
      <c r="F765" s="82"/>
      <c r="G765" s="30"/>
      <c r="H765" s="30"/>
      <c r="I765" s="30"/>
      <c r="J765" s="30"/>
      <c r="K765" s="30"/>
    </row>
    <row r="766" spans="1:11" ht="13.2">
      <c r="A766" s="82"/>
      <c r="B766" s="82"/>
      <c r="C766" s="117"/>
      <c r="E766" s="118"/>
      <c r="F766" s="82"/>
      <c r="G766" s="30"/>
      <c r="H766" s="30"/>
      <c r="I766" s="30"/>
      <c r="J766" s="30"/>
      <c r="K766" s="30"/>
    </row>
    <row r="767" spans="1:11" ht="13.2">
      <c r="A767" s="82"/>
      <c r="B767" s="82"/>
      <c r="C767" s="117"/>
      <c r="E767" s="118"/>
      <c r="F767" s="82"/>
      <c r="G767" s="30"/>
      <c r="H767" s="30"/>
      <c r="I767" s="30"/>
      <c r="J767" s="30"/>
      <c r="K767" s="30"/>
    </row>
    <row r="768" spans="1:11" ht="13.2">
      <c r="A768" s="82"/>
      <c r="B768" s="82"/>
      <c r="C768" s="117"/>
      <c r="E768" s="118"/>
      <c r="F768" s="82"/>
      <c r="G768" s="30"/>
      <c r="H768" s="30"/>
      <c r="I768" s="30"/>
      <c r="J768" s="30"/>
      <c r="K768" s="30"/>
    </row>
    <row r="769" spans="1:11" ht="13.2">
      <c r="A769" s="82"/>
      <c r="B769" s="82"/>
      <c r="C769" s="117"/>
      <c r="E769" s="118"/>
      <c r="F769" s="82"/>
      <c r="G769" s="30"/>
      <c r="H769" s="30"/>
      <c r="I769" s="30"/>
      <c r="J769" s="30"/>
      <c r="K769" s="30"/>
    </row>
    <row r="770" spans="1:11" ht="13.2">
      <c r="A770" s="82"/>
      <c r="B770" s="82"/>
      <c r="C770" s="117"/>
      <c r="E770" s="118"/>
      <c r="F770" s="82"/>
      <c r="G770" s="30"/>
      <c r="H770" s="30"/>
      <c r="I770" s="30"/>
      <c r="J770" s="30"/>
      <c r="K770" s="30"/>
    </row>
    <row r="771" spans="1:11" ht="13.2">
      <c r="A771" s="82"/>
      <c r="B771" s="82"/>
      <c r="C771" s="117"/>
      <c r="E771" s="118"/>
      <c r="F771" s="82"/>
      <c r="G771" s="30"/>
      <c r="H771" s="30"/>
      <c r="I771" s="30"/>
      <c r="J771" s="30"/>
      <c r="K771" s="30"/>
    </row>
    <row r="772" spans="1:11" ht="13.2">
      <c r="A772" s="82"/>
      <c r="B772" s="82"/>
      <c r="C772" s="117"/>
      <c r="E772" s="118"/>
      <c r="F772" s="82"/>
      <c r="G772" s="30"/>
      <c r="H772" s="30"/>
      <c r="I772" s="30"/>
      <c r="J772" s="30"/>
      <c r="K772" s="30"/>
    </row>
    <row r="773" spans="1:11" ht="13.2">
      <c r="A773" s="82"/>
      <c r="B773" s="82"/>
      <c r="C773" s="117"/>
      <c r="E773" s="118"/>
      <c r="F773" s="82"/>
      <c r="G773" s="30"/>
      <c r="H773" s="30"/>
      <c r="I773" s="30"/>
      <c r="J773" s="30"/>
      <c r="K773" s="30"/>
    </row>
    <row r="774" spans="1:11" ht="13.2">
      <c r="A774" s="82"/>
      <c r="B774" s="82"/>
      <c r="C774" s="117"/>
      <c r="E774" s="118"/>
      <c r="F774" s="82"/>
      <c r="G774" s="30"/>
      <c r="H774" s="30"/>
      <c r="I774" s="30"/>
      <c r="J774" s="30"/>
      <c r="K774" s="30"/>
    </row>
    <row r="775" spans="1:11" ht="13.2">
      <c r="A775" s="82"/>
      <c r="B775" s="82"/>
      <c r="C775" s="117"/>
      <c r="E775" s="118"/>
      <c r="F775" s="82"/>
      <c r="G775" s="30"/>
      <c r="H775" s="30"/>
      <c r="I775" s="30"/>
      <c r="J775" s="30"/>
      <c r="K775" s="30"/>
    </row>
    <row r="776" spans="1:11" ht="13.2">
      <c r="A776" s="82"/>
      <c r="B776" s="82"/>
      <c r="C776" s="117"/>
      <c r="E776" s="118"/>
      <c r="F776" s="82"/>
      <c r="G776" s="30"/>
      <c r="H776" s="30"/>
      <c r="I776" s="30"/>
      <c r="J776" s="30"/>
      <c r="K776" s="30"/>
    </row>
    <row r="777" spans="1:11" ht="13.2">
      <c r="A777" s="82"/>
      <c r="B777" s="82"/>
      <c r="C777" s="117"/>
      <c r="E777" s="118"/>
      <c r="F777" s="82"/>
      <c r="G777" s="30"/>
      <c r="H777" s="30"/>
      <c r="I777" s="30"/>
      <c r="J777" s="30"/>
      <c r="K777" s="30"/>
    </row>
    <row r="778" spans="1:11" ht="13.2">
      <c r="A778" s="82"/>
      <c r="B778" s="82"/>
      <c r="C778" s="117"/>
      <c r="E778" s="118"/>
      <c r="F778" s="82"/>
      <c r="G778" s="30"/>
      <c r="H778" s="30"/>
      <c r="I778" s="30"/>
      <c r="J778" s="30"/>
      <c r="K778" s="30"/>
    </row>
    <row r="779" spans="1:11" ht="13.2">
      <c r="A779" s="82"/>
      <c r="B779" s="82"/>
      <c r="C779" s="117"/>
      <c r="E779" s="118"/>
      <c r="F779" s="82"/>
      <c r="G779" s="30"/>
      <c r="H779" s="30"/>
      <c r="I779" s="30"/>
      <c r="J779" s="30"/>
      <c r="K779" s="30"/>
    </row>
    <row r="780" spans="1:11" ht="13.2">
      <c r="A780" s="82"/>
      <c r="B780" s="82"/>
      <c r="C780" s="117"/>
      <c r="E780" s="118"/>
      <c r="F780" s="82"/>
      <c r="G780" s="30"/>
      <c r="H780" s="30"/>
      <c r="I780" s="30"/>
      <c r="J780" s="30"/>
      <c r="K780" s="30"/>
    </row>
    <row r="781" spans="1:11" ht="13.2">
      <c r="A781" s="82"/>
      <c r="B781" s="82"/>
      <c r="C781" s="117"/>
      <c r="E781" s="118"/>
      <c r="F781" s="82"/>
      <c r="G781" s="30"/>
      <c r="H781" s="30"/>
      <c r="I781" s="30"/>
      <c r="J781" s="30"/>
      <c r="K781" s="30"/>
    </row>
    <row r="782" spans="1:11" ht="13.2">
      <c r="A782" s="82"/>
      <c r="B782" s="82"/>
      <c r="C782" s="117"/>
      <c r="E782" s="118"/>
      <c r="F782" s="82"/>
      <c r="G782" s="30"/>
      <c r="H782" s="30"/>
      <c r="I782" s="30"/>
      <c r="J782" s="30"/>
      <c r="K782" s="30"/>
    </row>
    <row r="783" spans="1:11" ht="13.2">
      <c r="A783" s="82"/>
      <c r="B783" s="82"/>
      <c r="C783" s="117"/>
      <c r="E783" s="118"/>
      <c r="F783" s="82"/>
      <c r="G783" s="30"/>
      <c r="H783" s="30"/>
      <c r="I783" s="30"/>
      <c r="J783" s="30"/>
      <c r="K783" s="30"/>
    </row>
    <row r="784" spans="1:11" ht="13.2">
      <c r="A784" s="82"/>
      <c r="B784" s="82"/>
      <c r="C784" s="117"/>
      <c r="E784" s="118"/>
      <c r="F784" s="82"/>
      <c r="G784" s="30"/>
      <c r="H784" s="30"/>
      <c r="I784" s="30"/>
      <c r="J784" s="30"/>
      <c r="K784" s="30"/>
    </row>
    <row r="785" spans="1:11" ht="13.2">
      <c r="A785" s="82"/>
      <c r="B785" s="82"/>
      <c r="C785" s="117"/>
      <c r="E785" s="118"/>
      <c r="F785" s="82"/>
      <c r="G785" s="30"/>
      <c r="H785" s="30"/>
      <c r="I785" s="30"/>
      <c r="J785" s="30"/>
      <c r="K785" s="30"/>
    </row>
    <row r="786" spans="1:11" ht="13.2">
      <c r="A786" s="82"/>
      <c r="B786" s="82"/>
      <c r="C786" s="117"/>
      <c r="E786" s="118"/>
      <c r="F786" s="82"/>
      <c r="G786" s="30"/>
      <c r="H786" s="30"/>
      <c r="I786" s="30"/>
      <c r="J786" s="30"/>
      <c r="K786" s="30"/>
    </row>
    <row r="787" spans="1:11" ht="13.2">
      <c r="A787" s="82"/>
      <c r="B787" s="82"/>
      <c r="C787" s="117"/>
      <c r="E787" s="118"/>
      <c r="F787" s="82"/>
      <c r="G787" s="30"/>
      <c r="H787" s="30"/>
      <c r="I787" s="30"/>
      <c r="J787" s="30"/>
      <c r="K787" s="30"/>
    </row>
    <row r="788" spans="1:11" ht="13.2">
      <c r="A788" s="82"/>
      <c r="B788" s="82"/>
      <c r="C788" s="117"/>
      <c r="E788" s="118"/>
      <c r="F788" s="82"/>
      <c r="G788" s="30"/>
      <c r="H788" s="30"/>
      <c r="I788" s="30"/>
      <c r="J788" s="30"/>
      <c r="K788" s="30"/>
    </row>
    <row r="789" spans="1:11" ht="13.2">
      <c r="A789" s="82"/>
      <c r="B789" s="82"/>
      <c r="C789" s="117"/>
      <c r="E789" s="118"/>
      <c r="F789" s="82"/>
      <c r="G789" s="30"/>
      <c r="H789" s="30"/>
      <c r="I789" s="30"/>
      <c r="J789" s="30"/>
      <c r="K789" s="30"/>
    </row>
    <row r="790" spans="1:11" ht="13.2">
      <c r="A790" s="82"/>
      <c r="B790" s="82"/>
      <c r="C790" s="117"/>
      <c r="E790" s="118"/>
      <c r="F790" s="82"/>
      <c r="G790" s="30"/>
      <c r="H790" s="30"/>
      <c r="I790" s="30"/>
      <c r="J790" s="30"/>
      <c r="K790" s="30"/>
    </row>
    <row r="791" spans="1:11" ht="13.2">
      <c r="A791" s="82"/>
      <c r="B791" s="82"/>
      <c r="C791" s="117"/>
      <c r="E791" s="118"/>
      <c r="F791" s="82"/>
      <c r="G791" s="30"/>
      <c r="H791" s="30"/>
      <c r="I791" s="30"/>
      <c r="J791" s="30"/>
      <c r="K791" s="30"/>
    </row>
    <row r="792" spans="1:11" ht="13.2">
      <c r="A792" s="82"/>
      <c r="B792" s="82"/>
      <c r="C792" s="117"/>
      <c r="E792" s="118"/>
      <c r="F792" s="82"/>
      <c r="G792" s="30"/>
      <c r="H792" s="30"/>
      <c r="I792" s="30"/>
      <c r="J792" s="30"/>
      <c r="K792" s="30"/>
    </row>
    <row r="793" spans="1:11" ht="13.2">
      <c r="A793" s="82"/>
      <c r="B793" s="82"/>
      <c r="C793" s="117"/>
      <c r="E793" s="118"/>
      <c r="F793" s="82"/>
      <c r="G793" s="30"/>
      <c r="H793" s="30"/>
      <c r="I793" s="30"/>
      <c r="J793" s="30"/>
      <c r="K793" s="30"/>
    </row>
    <row r="794" spans="1:11" ht="13.2">
      <c r="A794" s="82"/>
      <c r="B794" s="82"/>
      <c r="C794" s="117"/>
      <c r="E794" s="118"/>
      <c r="F794" s="82"/>
      <c r="G794" s="30"/>
      <c r="H794" s="30"/>
      <c r="I794" s="30"/>
      <c r="J794" s="30"/>
      <c r="K794" s="30"/>
    </row>
    <row r="795" spans="1:11" ht="13.2">
      <c r="A795" s="82"/>
      <c r="B795" s="82"/>
      <c r="C795" s="117"/>
      <c r="E795" s="118"/>
      <c r="F795" s="82"/>
      <c r="G795" s="30"/>
      <c r="H795" s="30"/>
      <c r="I795" s="30"/>
      <c r="J795" s="30"/>
      <c r="K795" s="30"/>
    </row>
    <row r="796" spans="1:11" ht="13.2">
      <c r="A796" s="82"/>
      <c r="B796" s="82"/>
      <c r="C796" s="117"/>
      <c r="E796" s="118"/>
      <c r="F796" s="82"/>
      <c r="G796" s="30"/>
      <c r="H796" s="30"/>
      <c r="I796" s="30"/>
      <c r="J796" s="30"/>
      <c r="K796" s="30"/>
    </row>
    <row r="797" spans="1:11" ht="13.2">
      <c r="A797" s="82"/>
      <c r="B797" s="82"/>
      <c r="C797" s="117"/>
      <c r="E797" s="118"/>
      <c r="F797" s="82"/>
      <c r="G797" s="30"/>
      <c r="H797" s="30"/>
      <c r="I797" s="30"/>
      <c r="J797" s="30"/>
      <c r="K797" s="30"/>
    </row>
    <row r="798" spans="1:11" ht="13.2">
      <c r="A798" s="82"/>
      <c r="B798" s="82"/>
      <c r="C798" s="117"/>
      <c r="E798" s="118"/>
      <c r="F798" s="82"/>
      <c r="G798" s="30"/>
      <c r="H798" s="30"/>
      <c r="I798" s="30"/>
      <c r="J798" s="30"/>
      <c r="K798" s="30"/>
    </row>
    <row r="799" spans="1:11" ht="13.2">
      <c r="A799" s="82"/>
      <c r="B799" s="82"/>
      <c r="C799" s="117"/>
      <c r="E799" s="118"/>
      <c r="F799" s="82"/>
      <c r="G799" s="30"/>
      <c r="H799" s="30"/>
      <c r="I799" s="30"/>
      <c r="J799" s="30"/>
      <c r="K799" s="30"/>
    </row>
    <row r="800" spans="1:11" ht="13.2">
      <c r="A800" s="82"/>
      <c r="B800" s="82"/>
      <c r="C800" s="117"/>
      <c r="E800" s="118"/>
      <c r="F800" s="82"/>
      <c r="G800" s="30"/>
      <c r="H800" s="30"/>
      <c r="I800" s="30"/>
      <c r="J800" s="30"/>
      <c r="K800" s="30"/>
    </row>
    <row r="801" spans="1:11" ht="13.2">
      <c r="A801" s="82"/>
      <c r="B801" s="82"/>
      <c r="C801" s="117"/>
      <c r="E801" s="118"/>
      <c r="F801" s="82"/>
      <c r="G801" s="30"/>
      <c r="H801" s="30"/>
      <c r="I801" s="30"/>
      <c r="J801" s="30"/>
      <c r="K801" s="30"/>
    </row>
    <row r="802" spans="1:11" ht="13.2">
      <c r="A802" s="82"/>
      <c r="B802" s="82"/>
      <c r="C802" s="117"/>
      <c r="E802" s="118"/>
      <c r="F802" s="82"/>
      <c r="G802" s="30"/>
      <c r="H802" s="30"/>
      <c r="I802" s="30"/>
      <c r="J802" s="30"/>
      <c r="K802" s="30"/>
    </row>
    <row r="803" spans="1:11" ht="13.2">
      <c r="A803" s="82"/>
      <c r="B803" s="82"/>
      <c r="C803" s="117"/>
      <c r="E803" s="118"/>
      <c r="F803" s="82"/>
      <c r="G803" s="30"/>
      <c r="H803" s="30"/>
      <c r="I803" s="30"/>
      <c r="J803" s="30"/>
      <c r="K803" s="30"/>
    </row>
    <row r="804" spans="1:11" ht="13.2">
      <c r="A804" s="82"/>
      <c r="B804" s="82"/>
      <c r="C804" s="117"/>
      <c r="E804" s="118"/>
      <c r="F804" s="82"/>
      <c r="G804" s="30"/>
      <c r="H804" s="30"/>
      <c r="I804" s="30"/>
      <c r="J804" s="30"/>
      <c r="K804" s="30"/>
    </row>
    <row r="805" spans="1:11" ht="13.2">
      <c r="A805" s="82"/>
      <c r="B805" s="82"/>
      <c r="C805" s="117"/>
      <c r="E805" s="118"/>
      <c r="F805" s="82"/>
      <c r="G805" s="30"/>
      <c r="H805" s="30"/>
      <c r="I805" s="30"/>
      <c r="J805" s="30"/>
      <c r="K805" s="30"/>
    </row>
    <row r="806" spans="1:11" ht="13.2">
      <c r="A806" s="82"/>
      <c r="B806" s="82"/>
      <c r="C806" s="117"/>
      <c r="E806" s="118"/>
      <c r="F806" s="82"/>
      <c r="G806" s="30"/>
      <c r="H806" s="30"/>
      <c r="I806" s="30"/>
      <c r="J806" s="30"/>
      <c r="K806" s="30"/>
    </row>
    <row r="807" spans="1:11" ht="13.2">
      <c r="A807" s="82"/>
      <c r="B807" s="82"/>
      <c r="C807" s="117"/>
      <c r="E807" s="118"/>
      <c r="F807" s="82"/>
      <c r="G807" s="30"/>
      <c r="H807" s="30"/>
      <c r="I807" s="30"/>
      <c r="J807" s="30"/>
      <c r="K807" s="30"/>
    </row>
    <row r="808" spans="1:11" ht="13.2">
      <c r="A808" s="82"/>
      <c r="B808" s="82"/>
      <c r="C808" s="117"/>
      <c r="E808" s="118"/>
      <c r="F808" s="82"/>
      <c r="G808" s="30"/>
      <c r="H808" s="30"/>
      <c r="I808" s="30"/>
      <c r="J808" s="30"/>
      <c r="K808" s="30"/>
    </row>
    <row r="809" spans="1:11" ht="13.2">
      <c r="A809" s="82"/>
      <c r="B809" s="82"/>
      <c r="C809" s="117"/>
      <c r="E809" s="118"/>
      <c r="F809" s="82"/>
      <c r="G809" s="30"/>
      <c r="H809" s="30"/>
      <c r="I809" s="30"/>
      <c r="J809" s="30"/>
      <c r="K809" s="30"/>
    </row>
    <row r="810" spans="1:11" ht="13.2">
      <c r="A810" s="82"/>
      <c r="B810" s="82"/>
      <c r="C810" s="117"/>
      <c r="E810" s="118"/>
      <c r="F810" s="82"/>
      <c r="G810" s="30"/>
      <c r="H810" s="30"/>
      <c r="I810" s="30"/>
      <c r="J810" s="30"/>
      <c r="K810" s="30"/>
    </row>
    <row r="811" spans="1:11" ht="13.2">
      <c r="A811" s="82"/>
      <c r="B811" s="82"/>
      <c r="C811" s="117"/>
      <c r="E811" s="118"/>
      <c r="F811" s="82"/>
      <c r="G811" s="30"/>
      <c r="H811" s="30"/>
      <c r="I811" s="30"/>
      <c r="J811" s="30"/>
      <c r="K811" s="30"/>
    </row>
    <row r="812" spans="1:11" ht="13.2">
      <c r="A812" s="82"/>
      <c r="B812" s="82"/>
      <c r="C812" s="117"/>
      <c r="E812" s="118"/>
      <c r="F812" s="82"/>
      <c r="G812" s="30"/>
      <c r="H812" s="30"/>
      <c r="I812" s="30"/>
      <c r="J812" s="30"/>
      <c r="K812" s="30"/>
    </row>
    <row r="813" spans="1:11" ht="13.2">
      <c r="A813" s="82"/>
      <c r="B813" s="82"/>
      <c r="C813" s="117"/>
      <c r="E813" s="118"/>
      <c r="F813" s="82"/>
      <c r="G813" s="30"/>
      <c r="H813" s="30"/>
      <c r="I813" s="30"/>
      <c r="J813" s="30"/>
      <c r="K813" s="30"/>
    </row>
    <row r="814" spans="1:11" ht="13.2">
      <c r="A814" s="82"/>
      <c r="B814" s="82"/>
      <c r="C814" s="117"/>
      <c r="E814" s="118"/>
      <c r="F814" s="82"/>
      <c r="G814" s="30"/>
      <c r="H814" s="30"/>
      <c r="I814" s="30"/>
      <c r="J814" s="30"/>
      <c r="K814" s="30"/>
    </row>
    <row r="815" spans="1:11" ht="13.2">
      <c r="A815" s="82"/>
      <c r="B815" s="82"/>
      <c r="C815" s="117"/>
      <c r="E815" s="118"/>
      <c r="F815" s="82"/>
      <c r="G815" s="30"/>
      <c r="H815" s="30"/>
      <c r="I815" s="30"/>
      <c r="J815" s="30"/>
      <c r="K815" s="30"/>
    </row>
    <row r="816" spans="1:11" ht="13.2">
      <c r="A816" s="82"/>
      <c r="B816" s="82"/>
      <c r="C816" s="117"/>
      <c r="E816" s="118"/>
      <c r="F816" s="82"/>
      <c r="G816" s="30"/>
      <c r="H816" s="30"/>
      <c r="I816" s="30"/>
      <c r="J816" s="30"/>
      <c r="K816" s="30"/>
    </row>
    <row r="817" spans="1:11" ht="13.2">
      <c r="A817" s="82"/>
      <c r="B817" s="82"/>
      <c r="C817" s="117"/>
      <c r="E817" s="118"/>
      <c r="F817" s="82"/>
      <c r="G817" s="30"/>
      <c r="H817" s="30"/>
      <c r="I817" s="30"/>
      <c r="J817" s="30"/>
      <c r="K817" s="30"/>
    </row>
    <row r="818" spans="1:11" ht="13.2">
      <c r="A818" s="82"/>
      <c r="B818" s="82"/>
      <c r="C818" s="117"/>
      <c r="E818" s="118"/>
      <c r="F818" s="82"/>
      <c r="G818" s="30"/>
      <c r="H818" s="30"/>
      <c r="I818" s="30"/>
      <c r="J818" s="30"/>
      <c r="K818" s="30"/>
    </row>
    <row r="819" spans="1:11" ht="13.2">
      <c r="A819" s="82"/>
      <c r="B819" s="82"/>
      <c r="C819" s="117"/>
      <c r="E819" s="118"/>
      <c r="F819" s="82"/>
      <c r="G819" s="30"/>
      <c r="H819" s="30"/>
      <c r="I819" s="30"/>
      <c r="J819" s="30"/>
      <c r="K819" s="30"/>
    </row>
    <row r="820" spans="1:11" ht="13.2">
      <c r="A820" s="82"/>
      <c r="B820" s="82"/>
      <c r="C820" s="117"/>
      <c r="E820" s="118"/>
      <c r="F820" s="82"/>
      <c r="G820" s="30"/>
      <c r="H820" s="30"/>
      <c r="I820" s="30"/>
      <c r="J820" s="30"/>
      <c r="K820" s="30"/>
    </row>
    <row r="821" spans="1:11" ht="13.2">
      <c r="A821" s="82"/>
      <c r="B821" s="82"/>
      <c r="C821" s="117"/>
      <c r="E821" s="118"/>
      <c r="F821" s="82"/>
      <c r="G821" s="30"/>
      <c r="H821" s="30"/>
      <c r="I821" s="30"/>
      <c r="J821" s="30"/>
      <c r="K821" s="30"/>
    </row>
    <row r="822" spans="1:11" ht="13.2">
      <c r="A822" s="82"/>
      <c r="B822" s="82"/>
      <c r="C822" s="117"/>
      <c r="E822" s="118"/>
      <c r="F822" s="82"/>
      <c r="G822" s="30"/>
      <c r="H822" s="30"/>
      <c r="I822" s="30"/>
      <c r="J822" s="30"/>
      <c r="K822" s="30"/>
    </row>
    <row r="823" spans="1:11" ht="13.2">
      <c r="A823" s="82"/>
      <c r="B823" s="82"/>
      <c r="C823" s="117"/>
      <c r="E823" s="118"/>
      <c r="F823" s="82"/>
      <c r="G823" s="30"/>
      <c r="H823" s="30"/>
      <c r="I823" s="30"/>
      <c r="J823" s="30"/>
      <c r="K823" s="30"/>
    </row>
    <row r="824" spans="1:11" ht="13.2">
      <c r="A824" s="82"/>
      <c r="B824" s="82"/>
      <c r="C824" s="117"/>
      <c r="E824" s="118"/>
      <c r="F824" s="82"/>
      <c r="G824" s="30"/>
      <c r="H824" s="30"/>
      <c r="I824" s="30"/>
      <c r="J824" s="30"/>
      <c r="K824" s="30"/>
    </row>
    <row r="825" spans="1:11" ht="13.2">
      <c r="A825" s="82"/>
      <c r="B825" s="82"/>
      <c r="C825" s="117"/>
      <c r="E825" s="118"/>
      <c r="F825" s="82"/>
      <c r="G825" s="30"/>
      <c r="H825" s="30"/>
      <c r="I825" s="30"/>
      <c r="J825" s="30"/>
      <c r="K825" s="30"/>
    </row>
    <row r="826" spans="1:11" ht="13.2">
      <c r="A826" s="82"/>
      <c r="B826" s="82"/>
      <c r="C826" s="117"/>
      <c r="E826" s="118"/>
      <c r="F826" s="82"/>
      <c r="G826" s="30"/>
      <c r="H826" s="30"/>
      <c r="I826" s="30"/>
      <c r="J826" s="30"/>
      <c r="K826" s="30"/>
    </row>
    <row r="827" spans="1:11" ht="13.2">
      <c r="A827" s="82"/>
      <c r="B827" s="82"/>
      <c r="C827" s="117"/>
      <c r="E827" s="118"/>
      <c r="F827" s="82"/>
      <c r="G827" s="30"/>
      <c r="H827" s="30"/>
      <c r="I827" s="30"/>
      <c r="J827" s="30"/>
      <c r="K827" s="30"/>
    </row>
    <row r="828" spans="1:11" ht="13.2">
      <c r="A828" s="82"/>
      <c r="B828" s="82"/>
      <c r="C828" s="117"/>
      <c r="E828" s="118"/>
      <c r="F828" s="82"/>
      <c r="G828" s="30"/>
      <c r="H828" s="30"/>
      <c r="I828" s="30"/>
      <c r="J828" s="30"/>
      <c r="K828" s="30"/>
    </row>
    <row r="829" spans="1:11" ht="13.2">
      <c r="A829" s="82"/>
      <c r="B829" s="82"/>
      <c r="C829" s="117"/>
      <c r="E829" s="118"/>
      <c r="F829" s="82"/>
      <c r="G829" s="30"/>
      <c r="H829" s="30"/>
      <c r="I829" s="30"/>
      <c r="J829" s="30"/>
      <c r="K829" s="30"/>
    </row>
    <row r="830" spans="1:11" ht="13.2">
      <c r="A830" s="82"/>
      <c r="B830" s="82"/>
      <c r="C830" s="117"/>
      <c r="E830" s="118"/>
      <c r="F830" s="82"/>
      <c r="G830" s="30"/>
      <c r="H830" s="30"/>
      <c r="I830" s="30"/>
      <c r="J830" s="30"/>
      <c r="K830" s="30"/>
    </row>
    <row r="831" spans="1:11" ht="13.2">
      <c r="A831" s="82"/>
      <c r="B831" s="82"/>
      <c r="C831" s="117"/>
      <c r="E831" s="118"/>
      <c r="F831" s="82"/>
      <c r="G831" s="30"/>
      <c r="H831" s="30"/>
      <c r="I831" s="30"/>
      <c r="J831" s="30"/>
      <c r="K831" s="30"/>
    </row>
    <row r="832" spans="1:11" ht="13.2">
      <c r="A832" s="82"/>
      <c r="B832" s="82"/>
      <c r="C832" s="117"/>
      <c r="E832" s="118"/>
      <c r="F832" s="82"/>
      <c r="G832" s="30"/>
      <c r="H832" s="30"/>
      <c r="I832" s="30"/>
      <c r="J832" s="30"/>
      <c r="K832" s="30"/>
    </row>
    <row r="833" spans="1:11" ht="13.2">
      <c r="A833" s="82"/>
      <c r="B833" s="82"/>
      <c r="C833" s="117"/>
      <c r="E833" s="118"/>
      <c r="F833" s="82"/>
      <c r="G833" s="30"/>
      <c r="H833" s="30"/>
      <c r="I833" s="30"/>
      <c r="J833" s="30"/>
      <c r="K833" s="30"/>
    </row>
    <row r="834" spans="1:11" ht="13.2">
      <c r="A834" s="82"/>
      <c r="B834" s="82"/>
      <c r="C834" s="117"/>
      <c r="E834" s="118"/>
      <c r="F834" s="82"/>
      <c r="G834" s="30"/>
      <c r="H834" s="30"/>
      <c r="I834" s="30"/>
      <c r="J834" s="30"/>
      <c r="K834" s="30"/>
    </row>
    <row r="835" spans="1:11" ht="13.2">
      <c r="A835" s="82"/>
      <c r="B835" s="82"/>
      <c r="C835" s="117"/>
      <c r="E835" s="118"/>
      <c r="F835" s="82"/>
      <c r="G835" s="30"/>
      <c r="H835" s="30"/>
      <c r="I835" s="30"/>
      <c r="J835" s="30"/>
      <c r="K835" s="30"/>
    </row>
    <row r="836" spans="1:11" ht="13.2">
      <c r="A836" s="82"/>
      <c r="B836" s="82"/>
      <c r="C836" s="117"/>
      <c r="E836" s="118"/>
      <c r="F836" s="82"/>
      <c r="G836" s="30"/>
      <c r="H836" s="30"/>
      <c r="I836" s="30"/>
      <c r="J836" s="30"/>
      <c r="K836" s="30"/>
    </row>
    <row r="837" spans="1:11" ht="13.2">
      <c r="A837" s="82"/>
      <c r="B837" s="82"/>
      <c r="C837" s="117"/>
      <c r="E837" s="118"/>
      <c r="F837" s="82"/>
      <c r="G837" s="30"/>
      <c r="H837" s="30"/>
      <c r="I837" s="30"/>
      <c r="J837" s="30"/>
      <c r="K837" s="30"/>
    </row>
    <row r="838" spans="1:11" ht="13.2">
      <c r="A838" s="82"/>
      <c r="B838" s="82"/>
      <c r="C838" s="117"/>
      <c r="E838" s="118"/>
      <c r="F838" s="82"/>
      <c r="G838" s="30"/>
      <c r="H838" s="30"/>
      <c r="I838" s="30"/>
      <c r="J838" s="30"/>
      <c r="K838" s="30"/>
    </row>
    <row r="839" spans="1:11" ht="13.2">
      <c r="A839" s="82"/>
      <c r="B839" s="82"/>
      <c r="C839" s="117"/>
      <c r="E839" s="118"/>
      <c r="F839" s="82"/>
      <c r="G839" s="30"/>
      <c r="H839" s="30"/>
      <c r="I839" s="30"/>
      <c r="J839" s="30"/>
      <c r="K839" s="30"/>
    </row>
    <row r="840" spans="1:11" ht="13.2">
      <c r="A840" s="82"/>
      <c r="B840" s="82"/>
      <c r="C840" s="117"/>
      <c r="E840" s="118"/>
      <c r="F840" s="82"/>
      <c r="G840" s="30"/>
      <c r="H840" s="30"/>
      <c r="I840" s="30"/>
      <c r="J840" s="30"/>
      <c r="K840" s="30"/>
    </row>
    <row r="841" spans="1:11" ht="13.2">
      <c r="A841" s="82"/>
      <c r="B841" s="82"/>
      <c r="C841" s="117"/>
      <c r="E841" s="118"/>
      <c r="F841" s="82"/>
      <c r="G841" s="30"/>
      <c r="H841" s="30"/>
      <c r="I841" s="30"/>
      <c r="J841" s="30"/>
      <c r="K841" s="30"/>
    </row>
    <row r="842" spans="1:11" ht="13.2">
      <c r="A842" s="82"/>
      <c r="B842" s="82"/>
      <c r="C842" s="117"/>
      <c r="E842" s="118"/>
      <c r="F842" s="82"/>
      <c r="G842" s="30"/>
      <c r="H842" s="30"/>
      <c r="I842" s="30"/>
      <c r="J842" s="30"/>
      <c r="K842" s="30"/>
    </row>
    <row r="843" spans="1:11" ht="13.2">
      <c r="A843" s="82"/>
      <c r="B843" s="82"/>
      <c r="C843" s="117"/>
      <c r="E843" s="118"/>
      <c r="F843" s="82"/>
      <c r="G843" s="30"/>
      <c r="H843" s="30"/>
      <c r="I843" s="30"/>
      <c r="J843" s="30"/>
      <c r="K843" s="30"/>
    </row>
    <row r="844" spans="1:11" ht="13.2">
      <c r="A844" s="82"/>
      <c r="B844" s="82"/>
      <c r="C844" s="117"/>
      <c r="E844" s="118"/>
      <c r="F844" s="82"/>
      <c r="G844" s="30"/>
      <c r="H844" s="30"/>
      <c r="I844" s="30"/>
      <c r="J844" s="30"/>
      <c r="K844" s="30"/>
    </row>
    <row r="845" spans="1:11" ht="13.2">
      <c r="A845" s="82"/>
      <c r="B845" s="82"/>
      <c r="C845" s="117"/>
      <c r="E845" s="118"/>
      <c r="F845" s="82"/>
      <c r="G845" s="30"/>
      <c r="H845" s="30"/>
      <c r="I845" s="30"/>
      <c r="J845" s="30"/>
      <c r="K845" s="30"/>
    </row>
    <row r="846" spans="1:11" ht="13.2">
      <c r="A846" s="82"/>
      <c r="B846" s="82"/>
      <c r="C846" s="117"/>
      <c r="E846" s="118"/>
      <c r="F846" s="82"/>
      <c r="G846" s="30"/>
      <c r="H846" s="30"/>
      <c r="I846" s="30"/>
      <c r="J846" s="30"/>
      <c r="K846" s="30"/>
    </row>
    <row r="847" spans="1:11" ht="13.2">
      <c r="A847" s="82"/>
      <c r="B847" s="82"/>
      <c r="C847" s="117"/>
      <c r="E847" s="118"/>
      <c r="F847" s="82"/>
      <c r="G847" s="30"/>
      <c r="H847" s="30"/>
      <c r="I847" s="30"/>
      <c r="J847" s="30"/>
      <c r="K847" s="30"/>
    </row>
    <row r="848" spans="1:11" ht="13.2">
      <c r="A848" s="82"/>
      <c r="B848" s="82"/>
      <c r="C848" s="117"/>
      <c r="E848" s="118"/>
      <c r="F848" s="82"/>
      <c r="G848" s="30"/>
      <c r="H848" s="30"/>
      <c r="I848" s="30"/>
      <c r="J848" s="30"/>
      <c r="K848" s="30"/>
    </row>
    <row r="849" spans="1:11" ht="13.2">
      <c r="A849" s="82"/>
      <c r="B849" s="82"/>
      <c r="C849" s="117"/>
      <c r="E849" s="118"/>
      <c r="F849" s="82"/>
      <c r="G849" s="30"/>
      <c r="H849" s="30"/>
      <c r="I849" s="30"/>
      <c r="J849" s="30"/>
      <c r="K849" s="30"/>
    </row>
    <row r="850" spans="1:11" ht="13.2">
      <c r="A850" s="82"/>
      <c r="B850" s="82"/>
      <c r="C850" s="117"/>
      <c r="E850" s="118"/>
      <c r="F850" s="82"/>
      <c r="G850" s="30"/>
      <c r="H850" s="30"/>
      <c r="I850" s="30"/>
      <c r="J850" s="30"/>
      <c r="K850" s="30"/>
    </row>
    <row r="851" spans="1:11" ht="13.2">
      <c r="A851" s="82"/>
      <c r="B851" s="82"/>
      <c r="C851" s="117"/>
      <c r="E851" s="118"/>
      <c r="F851" s="82"/>
      <c r="G851" s="30"/>
      <c r="H851" s="30"/>
      <c r="I851" s="30"/>
      <c r="J851" s="30"/>
      <c r="K851" s="30"/>
    </row>
    <row r="852" spans="1:11" ht="13.2">
      <c r="A852" s="82"/>
      <c r="B852" s="82"/>
      <c r="C852" s="117"/>
      <c r="E852" s="118"/>
      <c r="F852" s="82"/>
      <c r="G852" s="30"/>
      <c r="H852" s="30"/>
      <c r="I852" s="30"/>
      <c r="J852" s="30"/>
      <c r="K852" s="30"/>
    </row>
    <row r="853" spans="1:11" ht="13.2">
      <c r="A853" s="82"/>
      <c r="B853" s="82"/>
      <c r="C853" s="117"/>
      <c r="E853" s="118"/>
      <c r="F853" s="82"/>
      <c r="G853" s="30"/>
      <c r="H853" s="30"/>
      <c r="I853" s="30"/>
      <c r="J853" s="30"/>
      <c r="K853" s="30"/>
    </row>
    <row r="854" spans="1:11" ht="13.2">
      <c r="A854" s="82"/>
      <c r="B854" s="82"/>
      <c r="C854" s="117"/>
      <c r="E854" s="118"/>
      <c r="F854" s="82"/>
      <c r="G854" s="30"/>
      <c r="H854" s="30"/>
      <c r="I854" s="30"/>
      <c r="J854" s="30"/>
      <c r="K854" s="30"/>
    </row>
    <row r="855" spans="1:11" ht="13.2">
      <c r="A855" s="82"/>
      <c r="B855" s="82"/>
      <c r="C855" s="117"/>
      <c r="E855" s="118"/>
      <c r="F855" s="82"/>
      <c r="G855" s="30"/>
      <c r="H855" s="30"/>
      <c r="I855" s="30"/>
      <c r="J855" s="30"/>
      <c r="K855" s="30"/>
    </row>
    <row r="856" spans="1:11" ht="13.2">
      <c r="A856" s="82"/>
      <c r="B856" s="82"/>
      <c r="C856" s="117"/>
      <c r="E856" s="118"/>
      <c r="F856" s="82"/>
      <c r="G856" s="30"/>
      <c r="H856" s="30"/>
      <c r="I856" s="30"/>
      <c r="J856" s="30"/>
      <c r="K856" s="30"/>
    </row>
    <row r="857" spans="1:11" ht="13.2">
      <c r="A857" s="82"/>
      <c r="B857" s="82"/>
      <c r="C857" s="117"/>
      <c r="E857" s="118"/>
      <c r="F857" s="82"/>
      <c r="G857" s="30"/>
      <c r="H857" s="30"/>
      <c r="I857" s="30"/>
      <c r="J857" s="30"/>
      <c r="K857" s="30"/>
    </row>
    <row r="858" spans="1:11" ht="13.2">
      <c r="A858" s="82"/>
      <c r="B858" s="82"/>
      <c r="C858" s="117"/>
      <c r="E858" s="118"/>
      <c r="F858" s="82"/>
      <c r="G858" s="30"/>
      <c r="H858" s="30"/>
      <c r="I858" s="30"/>
      <c r="J858" s="30"/>
      <c r="K858" s="30"/>
    </row>
    <row r="859" spans="1:11" ht="13.2">
      <c r="A859" s="82"/>
      <c r="B859" s="82"/>
      <c r="C859" s="117"/>
      <c r="E859" s="118"/>
      <c r="F859" s="82"/>
      <c r="G859" s="30"/>
      <c r="H859" s="30"/>
      <c r="I859" s="30"/>
      <c r="J859" s="30"/>
      <c r="K859" s="30"/>
    </row>
    <row r="860" spans="1:11" ht="13.2">
      <c r="A860" s="82"/>
      <c r="B860" s="82"/>
      <c r="C860" s="117"/>
      <c r="E860" s="118"/>
      <c r="F860" s="82"/>
      <c r="G860" s="30"/>
      <c r="H860" s="30"/>
      <c r="I860" s="30"/>
      <c r="J860" s="30"/>
      <c r="K860" s="30"/>
    </row>
    <row r="861" spans="1:11" ht="13.2">
      <c r="A861" s="82"/>
      <c r="B861" s="82"/>
      <c r="C861" s="117"/>
      <c r="E861" s="118"/>
      <c r="F861" s="82"/>
      <c r="G861" s="30"/>
      <c r="H861" s="30"/>
      <c r="I861" s="30"/>
      <c r="J861" s="30"/>
      <c r="K861" s="30"/>
    </row>
    <row r="862" spans="1:11" ht="13.2">
      <c r="A862" s="82"/>
      <c r="B862" s="82"/>
      <c r="C862" s="117"/>
      <c r="E862" s="118"/>
      <c r="F862" s="82"/>
      <c r="G862" s="30"/>
      <c r="H862" s="30"/>
      <c r="I862" s="30"/>
      <c r="J862" s="30"/>
      <c r="K862" s="30"/>
    </row>
    <row r="863" spans="1:11" ht="13.2">
      <c r="A863" s="82"/>
      <c r="B863" s="82"/>
      <c r="C863" s="117"/>
      <c r="E863" s="118"/>
      <c r="F863" s="82"/>
      <c r="G863" s="30"/>
      <c r="H863" s="30"/>
      <c r="I863" s="30"/>
      <c r="J863" s="30"/>
      <c r="K863" s="30"/>
    </row>
    <row r="864" spans="1:11" ht="13.2">
      <c r="A864" s="82"/>
      <c r="B864" s="82"/>
      <c r="C864" s="117"/>
      <c r="E864" s="118"/>
      <c r="F864" s="82"/>
      <c r="G864" s="30"/>
      <c r="H864" s="30"/>
      <c r="I864" s="30"/>
      <c r="J864" s="30"/>
      <c r="K864" s="30"/>
    </row>
    <row r="865" spans="1:11" ht="13.2">
      <c r="A865" s="82"/>
      <c r="B865" s="82"/>
      <c r="C865" s="117"/>
      <c r="E865" s="118"/>
      <c r="F865" s="82"/>
      <c r="G865" s="30"/>
      <c r="H865" s="30"/>
      <c r="I865" s="30"/>
      <c r="J865" s="30"/>
      <c r="K865" s="30"/>
    </row>
    <row r="866" spans="1:11" ht="13.2">
      <c r="A866" s="82"/>
      <c r="B866" s="82"/>
      <c r="C866" s="117"/>
      <c r="E866" s="118"/>
      <c r="F866" s="82"/>
      <c r="G866" s="30"/>
      <c r="H866" s="30"/>
      <c r="I866" s="30"/>
      <c r="J866" s="30"/>
      <c r="K866" s="30"/>
    </row>
    <row r="867" spans="1:11" ht="13.2">
      <c r="A867" s="82"/>
      <c r="B867" s="82"/>
      <c r="C867" s="117"/>
      <c r="E867" s="118"/>
      <c r="F867" s="82"/>
      <c r="G867" s="30"/>
      <c r="H867" s="30"/>
      <c r="I867" s="30"/>
      <c r="J867" s="30"/>
      <c r="K867" s="30"/>
    </row>
    <row r="868" spans="1:11" ht="13.2">
      <c r="A868" s="82"/>
      <c r="B868" s="82"/>
      <c r="C868" s="117"/>
      <c r="E868" s="118"/>
      <c r="F868" s="82"/>
      <c r="G868" s="30"/>
      <c r="H868" s="30"/>
      <c r="I868" s="30"/>
      <c r="J868" s="30"/>
      <c r="K868" s="30"/>
    </row>
    <row r="869" spans="1:11" ht="13.2">
      <c r="A869" s="82"/>
      <c r="B869" s="82"/>
      <c r="C869" s="117"/>
      <c r="E869" s="118"/>
      <c r="F869" s="82"/>
      <c r="G869" s="30"/>
      <c r="H869" s="30"/>
      <c r="I869" s="30"/>
      <c r="J869" s="30"/>
      <c r="K869" s="30"/>
    </row>
    <row r="870" spans="1:11" ht="13.2">
      <c r="A870" s="82"/>
      <c r="B870" s="82"/>
      <c r="C870" s="117"/>
      <c r="E870" s="118"/>
      <c r="F870" s="82"/>
      <c r="G870" s="30"/>
      <c r="H870" s="30"/>
      <c r="I870" s="30"/>
      <c r="J870" s="30"/>
      <c r="K870" s="30"/>
    </row>
    <row r="871" spans="1:11" ht="13.2">
      <c r="A871" s="82"/>
      <c r="B871" s="82"/>
      <c r="C871" s="117"/>
      <c r="E871" s="118"/>
      <c r="F871" s="82"/>
      <c r="G871" s="30"/>
      <c r="H871" s="30"/>
      <c r="I871" s="30"/>
      <c r="J871" s="30"/>
      <c r="K871" s="30"/>
    </row>
    <row r="872" spans="1:11" ht="13.2">
      <c r="A872" s="82"/>
      <c r="B872" s="82"/>
      <c r="C872" s="117"/>
      <c r="E872" s="118"/>
      <c r="F872" s="82"/>
      <c r="G872" s="30"/>
      <c r="H872" s="30"/>
      <c r="I872" s="30"/>
      <c r="J872" s="30"/>
      <c r="K872" s="30"/>
    </row>
    <row r="873" spans="1:11" ht="13.2">
      <c r="A873" s="82"/>
      <c r="B873" s="82"/>
      <c r="C873" s="117"/>
      <c r="E873" s="118"/>
      <c r="F873" s="82"/>
      <c r="G873" s="30"/>
      <c r="H873" s="30"/>
      <c r="I873" s="30"/>
      <c r="J873" s="30"/>
      <c r="K873" s="30"/>
    </row>
    <row r="874" spans="1:11" ht="13.2">
      <c r="A874" s="82"/>
      <c r="B874" s="82"/>
      <c r="C874" s="117"/>
      <c r="E874" s="118"/>
      <c r="F874" s="82"/>
      <c r="G874" s="30"/>
      <c r="H874" s="30"/>
      <c r="I874" s="30"/>
      <c r="J874" s="30"/>
      <c r="K874" s="30"/>
    </row>
    <row r="875" spans="1:11" ht="13.2">
      <c r="A875" s="82"/>
      <c r="B875" s="82"/>
      <c r="C875" s="117"/>
      <c r="E875" s="118"/>
      <c r="F875" s="82"/>
      <c r="G875" s="30"/>
      <c r="H875" s="30"/>
      <c r="I875" s="30"/>
      <c r="J875" s="30"/>
      <c r="K875" s="30"/>
    </row>
    <row r="876" spans="1:11" ht="13.2">
      <c r="A876" s="82"/>
      <c r="B876" s="82"/>
      <c r="C876" s="117"/>
      <c r="E876" s="118"/>
      <c r="F876" s="82"/>
      <c r="G876" s="30"/>
      <c r="H876" s="30"/>
      <c r="I876" s="30"/>
      <c r="J876" s="30"/>
      <c r="K876" s="30"/>
    </row>
    <row r="877" spans="1:11" ht="13.2">
      <c r="A877" s="82"/>
      <c r="B877" s="82"/>
      <c r="C877" s="117"/>
      <c r="E877" s="118"/>
      <c r="F877" s="82"/>
      <c r="G877" s="30"/>
      <c r="H877" s="30"/>
      <c r="I877" s="30"/>
      <c r="J877" s="30"/>
      <c r="K877" s="30"/>
    </row>
    <row r="878" spans="1:11" ht="13.2">
      <c r="A878" s="82"/>
      <c r="B878" s="82"/>
      <c r="C878" s="117"/>
      <c r="E878" s="118"/>
      <c r="F878" s="82"/>
      <c r="G878" s="30"/>
      <c r="H878" s="30"/>
      <c r="I878" s="30"/>
      <c r="J878" s="30"/>
      <c r="K878" s="30"/>
    </row>
    <row r="879" spans="1:11" ht="13.2">
      <c r="A879" s="82"/>
      <c r="B879" s="82"/>
      <c r="C879" s="117"/>
      <c r="E879" s="118"/>
      <c r="F879" s="82"/>
      <c r="G879" s="30"/>
      <c r="H879" s="30"/>
      <c r="I879" s="30"/>
      <c r="J879" s="30"/>
      <c r="K879" s="30"/>
    </row>
    <row r="880" spans="1:11" ht="13.2">
      <c r="A880" s="82"/>
      <c r="B880" s="82"/>
      <c r="C880" s="117"/>
      <c r="E880" s="118"/>
      <c r="F880" s="82"/>
      <c r="G880" s="30"/>
      <c r="H880" s="30"/>
      <c r="I880" s="30"/>
      <c r="J880" s="30"/>
      <c r="K880" s="30"/>
    </row>
    <row r="881" spans="1:11" ht="13.2">
      <c r="A881" s="82"/>
      <c r="B881" s="82"/>
      <c r="C881" s="117"/>
      <c r="E881" s="118"/>
      <c r="F881" s="82"/>
      <c r="G881" s="30"/>
      <c r="H881" s="30"/>
      <c r="I881" s="30"/>
      <c r="J881" s="30"/>
      <c r="K881" s="30"/>
    </row>
    <row r="882" spans="1:11" ht="13.2">
      <c r="A882" s="82"/>
      <c r="B882" s="82"/>
      <c r="C882" s="117"/>
      <c r="E882" s="118"/>
      <c r="F882" s="82"/>
      <c r="G882" s="30"/>
      <c r="H882" s="30"/>
      <c r="I882" s="30"/>
      <c r="J882" s="30"/>
      <c r="K882" s="30"/>
    </row>
    <row r="883" spans="1:11" ht="13.2">
      <c r="A883" s="82"/>
      <c r="B883" s="82"/>
      <c r="C883" s="117"/>
      <c r="E883" s="118"/>
      <c r="F883" s="82"/>
      <c r="G883" s="30"/>
      <c r="H883" s="30"/>
      <c r="I883" s="30"/>
      <c r="J883" s="30"/>
      <c r="K883" s="30"/>
    </row>
    <row r="884" spans="1:11" ht="13.2">
      <c r="A884" s="82"/>
      <c r="B884" s="82"/>
      <c r="C884" s="117"/>
      <c r="E884" s="118"/>
      <c r="F884" s="82"/>
      <c r="G884" s="30"/>
      <c r="H884" s="30"/>
      <c r="I884" s="30"/>
      <c r="J884" s="30"/>
      <c r="K884" s="30"/>
    </row>
    <row r="885" spans="1:11" ht="13.2">
      <c r="A885" s="82"/>
      <c r="B885" s="82"/>
      <c r="C885" s="117"/>
      <c r="E885" s="118"/>
      <c r="F885" s="82"/>
      <c r="G885" s="30"/>
      <c r="H885" s="30"/>
      <c r="I885" s="30"/>
      <c r="J885" s="30"/>
      <c r="K885" s="30"/>
    </row>
    <row r="886" spans="1:11" ht="13.2">
      <c r="A886" s="82"/>
      <c r="B886" s="82"/>
      <c r="C886" s="117"/>
      <c r="E886" s="118"/>
      <c r="F886" s="82"/>
      <c r="G886" s="30"/>
      <c r="H886" s="30"/>
      <c r="I886" s="30"/>
      <c r="J886" s="30"/>
      <c r="K886" s="30"/>
    </row>
    <row r="887" spans="1:11" ht="13.2">
      <c r="A887" s="82"/>
      <c r="B887" s="82"/>
      <c r="C887" s="117"/>
      <c r="E887" s="118"/>
      <c r="F887" s="82"/>
      <c r="G887" s="30"/>
      <c r="H887" s="30"/>
      <c r="I887" s="30"/>
      <c r="J887" s="30"/>
      <c r="K887" s="30"/>
    </row>
    <row r="888" spans="1:11" ht="13.2">
      <c r="A888" s="82"/>
      <c r="B888" s="82"/>
      <c r="C888" s="117"/>
      <c r="E888" s="118"/>
      <c r="F888" s="82"/>
      <c r="G888" s="30"/>
      <c r="H888" s="30"/>
      <c r="I888" s="30"/>
      <c r="J888" s="30"/>
      <c r="K888" s="30"/>
    </row>
    <row r="889" spans="1:11" ht="13.2">
      <c r="A889" s="82"/>
      <c r="B889" s="82"/>
      <c r="C889" s="117"/>
      <c r="E889" s="118"/>
      <c r="F889" s="82"/>
      <c r="G889" s="30"/>
      <c r="H889" s="30"/>
      <c r="I889" s="30"/>
      <c r="J889" s="30"/>
      <c r="K889" s="30"/>
    </row>
    <row r="890" spans="1:11" ht="13.2">
      <c r="A890" s="82"/>
      <c r="B890" s="82"/>
      <c r="C890" s="117"/>
      <c r="E890" s="118"/>
      <c r="F890" s="82"/>
      <c r="G890" s="30"/>
      <c r="H890" s="30"/>
      <c r="I890" s="30"/>
      <c r="J890" s="30"/>
      <c r="K890" s="30"/>
    </row>
    <row r="891" spans="1:11" ht="13.2">
      <c r="A891" s="82"/>
      <c r="B891" s="82"/>
      <c r="C891" s="117"/>
      <c r="E891" s="118"/>
      <c r="F891" s="82"/>
      <c r="G891" s="30"/>
      <c r="H891" s="30"/>
      <c r="I891" s="30"/>
      <c r="J891" s="30"/>
      <c r="K891" s="30"/>
    </row>
    <row r="892" spans="1:11" ht="13.2">
      <c r="A892" s="82"/>
      <c r="B892" s="82"/>
      <c r="C892" s="117"/>
      <c r="E892" s="118"/>
      <c r="F892" s="82"/>
      <c r="G892" s="30"/>
      <c r="H892" s="30"/>
      <c r="I892" s="30"/>
      <c r="J892" s="30"/>
      <c r="K892" s="30"/>
    </row>
    <row r="893" spans="1:11" ht="13.2">
      <c r="A893" s="82"/>
      <c r="B893" s="82"/>
      <c r="C893" s="117"/>
      <c r="E893" s="118"/>
      <c r="F893" s="82"/>
      <c r="G893" s="30"/>
      <c r="H893" s="30"/>
      <c r="I893" s="30"/>
      <c r="J893" s="30"/>
      <c r="K893" s="30"/>
    </row>
    <row r="894" spans="1:11" ht="13.2">
      <c r="A894" s="82"/>
      <c r="B894" s="82"/>
      <c r="C894" s="117"/>
      <c r="E894" s="118"/>
      <c r="F894" s="82"/>
      <c r="G894" s="30"/>
      <c r="H894" s="30"/>
      <c r="I894" s="30"/>
      <c r="J894" s="30"/>
      <c r="K894" s="30"/>
    </row>
    <row r="895" spans="1:11" ht="13.2">
      <c r="A895" s="82"/>
      <c r="B895" s="82"/>
      <c r="C895" s="117"/>
      <c r="E895" s="118"/>
      <c r="F895" s="82"/>
      <c r="G895" s="30"/>
      <c r="H895" s="30"/>
      <c r="I895" s="30"/>
      <c r="J895" s="30"/>
      <c r="K895" s="30"/>
    </row>
    <row r="896" spans="1:11" ht="13.2">
      <c r="A896" s="82"/>
      <c r="B896" s="82"/>
      <c r="C896" s="117"/>
      <c r="E896" s="118"/>
      <c r="F896" s="82"/>
      <c r="G896" s="30"/>
      <c r="H896" s="30"/>
      <c r="I896" s="30"/>
      <c r="J896" s="30"/>
      <c r="K896" s="30"/>
    </row>
    <row r="897" spans="1:11" ht="13.2">
      <c r="A897" s="82"/>
      <c r="B897" s="82"/>
      <c r="C897" s="117"/>
      <c r="E897" s="118"/>
      <c r="F897" s="82"/>
      <c r="G897" s="30"/>
      <c r="H897" s="30"/>
      <c r="I897" s="30"/>
      <c r="J897" s="30"/>
      <c r="K897" s="30"/>
    </row>
    <row r="898" spans="1:11" ht="13.2">
      <c r="A898" s="82"/>
      <c r="B898" s="82"/>
      <c r="C898" s="117"/>
      <c r="E898" s="118"/>
      <c r="F898" s="82"/>
      <c r="G898" s="30"/>
      <c r="H898" s="30"/>
      <c r="I898" s="30"/>
      <c r="J898" s="30"/>
      <c r="K898" s="30"/>
    </row>
    <row r="899" spans="1:11" ht="13.2">
      <c r="A899" s="82"/>
      <c r="B899" s="82"/>
      <c r="C899" s="117"/>
      <c r="E899" s="118"/>
      <c r="F899" s="82"/>
      <c r="G899" s="30"/>
      <c r="H899" s="30"/>
      <c r="I899" s="30"/>
      <c r="J899" s="30"/>
      <c r="K899" s="30"/>
    </row>
    <row r="900" spans="1:11" ht="13.2">
      <c r="A900" s="82"/>
      <c r="B900" s="82"/>
      <c r="C900" s="117"/>
      <c r="E900" s="118"/>
      <c r="F900" s="82"/>
      <c r="G900" s="30"/>
      <c r="H900" s="30"/>
      <c r="I900" s="30"/>
      <c r="J900" s="30"/>
      <c r="K900" s="30"/>
    </row>
    <row r="901" spans="1:11" ht="13.2">
      <c r="A901" s="82"/>
      <c r="B901" s="82"/>
      <c r="C901" s="117"/>
      <c r="E901" s="118"/>
      <c r="F901" s="82"/>
      <c r="G901" s="30"/>
      <c r="H901" s="30"/>
      <c r="I901" s="30"/>
      <c r="J901" s="30"/>
      <c r="K901" s="30"/>
    </row>
    <row r="902" spans="1:11" ht="13.2">
      <c r="A902" s="82"/>
      <c r="B902" s="82"/>
      <c r="C902" s="117"/>
      <c r="E902" s="118"/>
      <c r="F902" s="82"/>
      <c r="G902" s="30"/>
      <c r="H902" s="30"/>
      <c r="I902" s="30"/>
      <c r="J902" s="30"/>
      <c r="K902" s="30"/>
    </row>
    <row r="903" spans="1:11" ht="13.2">
      <c r="A903" s="82"/>
      <c r="B903" s="82"/>
      <c r="C903" s="117"/>
      <c r="E903" s="118"/>
      <c r="F903" s="82"/>
      <c r="G903" s="30"/>
      <c r="H903" s="30"/>
      <c r="I903" s="30"/>
      <c r="J903" s="30"/>
      <c r="K903" s="30"/>
    </row>
    <row r="904" spans="1:11" ht="13.2">
      <c r="A904" s="82"/>
      <c r="B904" s="82"/>
      <c r="C904" s="117"/>
      <c r="E904" s="118"/>
      <c r="F904" s="82"/>
      <c r="G904" s="30"/>
      <c r="H904" s="30"/>
      <c r="I904" s="30"/>
      <c r="J904" s="30"/>
      <c r="K904" s="30"/>
    </row>
    <row r="905" spans="1:11" ht="13.2">
      <c r="A905" s="82"/>
      <c r="B905" s="82"/>
      <c r="C905" s="117"/>
      <c r="E905" s="118"/>
      <c r="F905" s="82"/>
      <c r="G905" s="30"/>
      <c r="H905" s="30"/>
      <c r="I905" s="30"/>
      <c r="J905" s="30"/>
      <c r="K905" s="30"/>
    </row>
    <row r="906" spans="1:11" ht="13.2">
      <c r="A906" s="82"/>
      <c r="B906" s="82"/>
      <c r="C906" s="117"/>
      <c r="E906" s="118"/>
      <c r="F906" s="82"/>
      <c r="G906" s="30"/>
      <c r="H906" s="30"/>
      <c r="I906" s="30"/>
      <c r="J906" s="30"/>
      <c r="K906" s="30"/>
    </row>
    <row r="907" spans="1:11" ht="13.2">
      <c r="A907" s="82"/>
      <c r="B907" s="82"/>
      <c r="C907" s="117"/>
      <c r="E907" s="118"/>
      <c r="F907" s="82"/>
      <c r="G907" s="30"/>
      <c r="H907" s="30"/>
      <c r="I907" s="30"/>
      <c r="J907" s="30"/>
      <c r="K907" s="30"/>
    </row>
    <row r="908" spans="1:11" ht="13.2">
      <c r="A908" s="82"/>
      <c r="B908" s="82"/>
      <c r="C908" s="117"/>
      <c r="E908" s="118"/>
      <c r="F908" s="82"/>
      <c r="G908" s="30"/>
      <c r="H908" s="30"/>
      <c r="I908" s="30"/>
      <c r="J908" s="30"/>
      <c r="K908" s="30"/>
    </row>
    <row r="909" spans="1:11" ht="13.2">
      <c r="A909" s="82"/>
      <c r="B909" s="82"/>
      <c r="C909" s="117"/>
      <c r="E909" s="118"/>
      <c r="F909" s="82"/>
      <c r="G909" s="30"/>
      <c r="H909" s="30"/>
      <c r="I909" s="30"/>
      <c r="J909" s="30"/>
      <c r="K909" s="30"/>
    </row>
    <row r="910" spans="1:11" ht="13.2">
      <c r="A910" s="82"/>
      <c r="B910" s="82"/>
      <c r="C910" s="117"/>
      <c r="E910" s="118"/>
      <c r="F910" s="82"/>
      <c r="G910" s="30"/>
      <c r="H910" s="30"/>
      <c r="I910" s="30"/>
      <c r="J910" s="30"/>
      <c r="K910" s="30"/>
    </row>
    <row r="911" spans="1:11" ht="13.2">
      <c r="A911" s="82"/>
      <c r="B911" s="82"/>
      <c r="C911" s="117"/>
      <c r="E911" s="118"/>
      <c r="F911" s="82"/>
      <c r="G911" s="30"/>
      <c r="H911" s="30"/>
      <c r="I911" s="30"/>
      <c r="J911" s="30"/>
      <c r="K911" s="30"/>
    </row>
    <row r="912" spans="1:11" ht="13.2">
      <c r="A912" s="82"/>
      <c r="B912" s="82"/>
      <c r="C912" s="117"/>
      <c r="E912" s="118"/>
      <c r="F912" s="82"/>
      <c r="G912" s="30"/>
      <c r="H912" s="30"/>
      <c r="I912" s="30"/>
      <c r="J912" s="30"/>
      <c r="K912" s="30"/>
    </row>
    <row r="913" spans="1:11" ht="13.2">
      <c r="A913" s="82"/>
      <c r="B913" s="82"/>
      <c r="C913" s="117"/>
      <c r="E913" s="118"/>
      <c r="F913" s="82"/>
      <c r="G913" s="30"/>
      <c r="H913" s="30"/>
      <c r="I913" s="30"/>
      <c r="J913" s="30"/>
      <c r="K913" s="30"/>
    </row>
    <row r="914" spans="1:11" ht="13.2">
      <c r="A914" s="82"/>
      <c r="B914" s="82"/>
      <c r="C914" s="117"/>
      <c r="E914" s="118"/>
      <c r="F914" s="82"/>
      <c r="G914" s="30"/>
      <c r="H914" s="30"/>
      <c r="I914" s="30"/>
      <c r="J914" s="30"/>
      <c r="K914" s="30"/>
    </row>
    <row r="915" spans="1:11" ht="13.2">
      <c r="A915" s="82"/>
      <c r="B915" s="82"/>
      <c r="C915" s="117"/>
      <c r="E915" s="118"/>
      <c r="F915" s="82"/>
      <c r="G915" s="30"/>
      <c r="H915" s="30"/>
      <c r="I915" s="30"/>
      <c r="J915" s="30"/>
      <c r="K915" s="30"/>
    </row>
    <row r="916" spans="1:11" ht="13.2">
      <c r="A916" s="82"/>
      <c r="B916" s="82"/>
      <c r="C916" s="117"/>
      <c r="E916" s="118"/>
      <c r="F916" s="82"/>
      <c r="G916" s="30"/>
      <c r="H916" s="30"/>
      <c r="I916" s="30"/>
      <c r="J916" s="30"/>
      <c r="K916" s="30"/>
    </row>
    <row r="917" spans="1:11" ht="13.2">
      <c r="A917" s="82"/>
      <c r="B917" s="82"/>
      <c r="C917" s="117"/>
      <c r="E917" s="118"/>
      <c r="F917" s="82"/>
      <c r="G917" s="30"/>
      <c r="H917" s="30"/>
      <c r="I917" s="30"/>
      <c r="J917" s="30"/>
      <c r="K917" s="30"/>
    </row>
    <row r="918" spans="1:11" ht="13.2">
      <c r="A918" s="82"/>
      <c r="B918" s="82"/>
      <c r="C918" s="117"/>
      <c r="E918" s="118"/>
      <c r="F918" s="82"/>
      <c r="G918" s="30"/>
      <c r="H918" s="30"/>
      <c r="I918" s="30"/>
      <c r="J918" s="30"/>
      <c r="K918" s="30"/>
    </row>
    <row r="919" spans="1:11" ht="13.2">
      <c r="A919" s="82"/>
      <c r="B919" s="82"/>
      <c r="C919" s="117"/>
      <c r="E919" s="118"/>
      <c r="F919" s="82"/>
      <c r="G919" s="30"/>
      <c r="H919" s="30"/>
      <c r="I919" s="30"/>
      <c r="J919" s="30"/>
      <c r="K919" s="30"/>
    </row>
    <row r="920" spans="1:11" ht="13.2">
      <c r="A920" s="82"/>
      <c r="B920" s="82"/>
      <c r="C920" s="117"/>
      <c r="E920" s="118"/>
      <c r="F920" s="82"/>
      <c r="G920" s="30"/>
      <c r="H920" s="30"/>
      <c r="I920" s="30"/>
      <c r="J920" s="30"/>
      <c r="K920" s="30"/>
    </row>
    <row r="921" spans="1:11" ht="13.2">
      <c r="A921" s="82"/>
      <c r="B921" s="82"/>
      <c r="C921" s="117"/>
      <c r="E921" s="118"/>
      <c r="F921" s="82"/>
      <c r="G921" s="30"/>
      <c r="H921" s="30"/>
      <c r="I921" s="30"/>
      <c r="J921" s="30"/>
      <c r="K921" s="30"/>
    </row>
    <row r="922" spans="1:11" ht="13.2">
      <c r="A922" s="82"/>
      <c r="B922" s="82"/>
      <c r="C922" s="117"/>
      <c r="E922" s="118"/>
      <c r="F922" s="82"/>
      <c r="G922" s="30"/>
      <c r="H922" s="30"/>
      <c r="I922" s="30"/>
      <c r="J922" s="30"/>
      <c r="K922" s="30"/>
    </row>
    <row r="923" spans="1:11" ht="13.2">
      <c r="A923" s="82"/>
      <c r="B923" s="82"/>
      <c r="C923" s="117"/>
      <c r="E923" s="118"/>
      <c r="F923" s="82"/>
      <c r="G923" s="30"/>
      <c r="H923" s="30"/>
      <c r="I923" s="30"/>
      <c r="J923" s="30"/>
      <c r="K923" s="30"/>
    </row>
    <row r="924" spans="1:11" ht="13.2">
      <c r="A924" s="82"/>
      <c r="B924" s="82"/>
      <c r="C924" s="117"/>
      <c r="E924" s="118"/>
      <c r="F924" s="82"/>
      <c r="G924" s="30"/>
      <c r="H924" s="30"/>
      <c r="I924" s="30"/>
      <c r="J924" s="30"/>
      <c r="K924" s="30"/>
    </row>
    <row r="925" spans="1:11" ht="13.2">
      <c r="A925" s="82"/>
      <c r="B925" s="82"/>
      <c r="C925" s="117"/>
      <c r="E925" s="118"/>
      <c r="F925" s="82"/>
      <c r="G925" s="30"/>
      <c r="H925" s="30"/>
      <c r="I925" s="30"/>
      <c r="J925" s="30"/>
      <c r="K925" s="30"/>
    </row>
    <row r="926" spans="1:11" ht="13.2">
      <c r="A926" s="82"/>
      <c r="B926" s="82"/>
      <c r="C926" s="117"/>
      <c r="E926" s="118"/>
      <c r="F926" s="82"/>
      <c r="G926" s="30"/>
      <c r="H926" s="30"/>
      <c r="I926" s="30"/>
      <c r="J926" s="30"/>
      <c r="K926" s="30"/>
    </row>
    <row r="927" spans="1:11" ht="13.2">
      <c r="A927" s="82"/>
      <c r="B927" s="82"/>
      <c r="C927" s="117"/>
      <c r="E927" s="118"/>
      <c r="F927" s="82"/>
      <c r="G927" s="30"/>
      <c r="H927" s="30"/>
      <c r="I927" s="30"/>
      <c r="J927" s="30"/>
      <c r="K927" s="30"/>
    </row>
    <row r="928" spans="1:11" ht="13.2">
      <c r="A928" s="82"/>
      <c r="B928" s="82"/>
      <c r="C928" s="117"/>
      <c r="E928" s="118"/>
      <c r="F928" s="82"/>
      <c r="G928" s="30"/>
      <c r="H928" s="30"/>
      <c r="I928" s="30"/>
      <c r="J928" s="30"/>
      <c r="K928" s="30"/>
    </row>
    <row r="929" spans="1:11" ht="13.2">
      <c r="A929" s="82"/>
      <c r="B929" s="82"/>
      <c r="C929" s="117"/>
      <c r="E929" s="118"/>
      <c r="F929" s="82"/>
      <c r="G929" s="30"/>
      <c r="H929" s="30"/>
      <c r="I929" s="30"/>
      <c r="J929" s="30"/>
      <c r="K929" s="30"/>
    </row>
    <row r="930" spans="1:11" ht="13.2">
      <c r="A930" s="82"/>
      <c r="B930" s="82"/>
      <c r="C930" s="117"/>
      <c r="E930" s="118"/>
      <c r="F930" s="82"/>
      <c r="G930" s="30"/>
      <c r="H930" s="30"/>
      <c r="I930" s="30"/>
      <c r="J930" s="30"/>
      <c r="K930" s="30"/>
    </row>
    <row r="931" spans="1:11" ht="13.2">
      <c r="A931" s="82"/>
      <c r="B931" s="82"/>
      <c r="C931" s="117"/>
      <c r="E931" s="118"/>
      <c r="F931" s="82"/>
      <c r="G931" s="30"/>
      <c r="H931" s="30"/>
      <c r="I931" s="30"/>
      <c r="J931" s="30"/>
      <c r="K931" s="30"/>
    </row>
    <row r="932" spans="1:11" ht="13.2">
      <c r="A932" s="82"/>
      <c r="B932" s="82"/>
      <c r="C932" s="117"/>
      <c r="E932" s="118"/>
      <c r="F932" s="82"/>
      <c r="G932" s="30"/>
      <c r="H932" s="30"/>
      <c r="I932" s="30"/>
      <c r="J932" s="30"/>
      <c r="K932" s="30"/>
    </row>
    <row r="933" spans="1:11" ht="13.2">
      <c r="A933" s="82"/>
      <c r="B933" s="82"/>
      <c r="C933" s="117"/>
      <c r="E933" s="118"/>
      <c r="F933" s="82"/>
      <c r="G933" s="30"/>
      <c r="H933" s="30"/>
      <c r="I933" s="30"/>
      <c r="J933" s="30"/>
      <c r="K933" s="30"/>
    </row>
    <row r="934" spans="1:11" ht="13.2">
      <c r="A934" s="82"/>
      <c r="B934" s="82"/>
      <c r="C934" s="117"/>
      <c r="E934" s="118"/>
      <c r="F934" s="82"/>
      <c r="G934" s="30"/>
      <c r="H934" s="30"/>
      <c r="I934" s="30"/>
      <c r="J934" s="30"/>
      <c r="K934" s="30"/>
    </row>
    <row r="935" spans="1:11" ht="13.2">
      <c r="A935" s="82"/>
      <c r="B935" s="82"/>
      <c r="C935" s="117"/>
      <c r="E935" s="118"/>
      <c r="F935" s="82"/>
      <c r="G935" s="30"/>
      <c r="H935" s="30"/>
      <c r="I935" s="30"/>
      <c r="J935" s="30"/>
      <c r="K935" s="30"/>
    </row>
    <row r="936" spans="1:11" ht="13.2">
      <c r="A936" s="82"/>
      <c r="B936" s="82"/>
      <c r="C936" s="117"/>
      <c r="E936" s="118"/>
      <c r="F936" s="82"/>
      <c r="G936" s="30"/>
      <c r="H936" s="30"/>
      <c r="I936" s="30"/>
      <c r="J936" s="30"/>
      <c r="K936" s="30"/>
    </row>
    <row r="937" spans="1:11" ht="13.2">
      <c r="A937" s="82"/>
      <c r="B937" s="82"/>
      <c r="C937" s="117"/>
      <c r="E937" s="118"/>
      <c r="F937" s="82"/>
      <c r="G937" s="30"/>
      <c r="H937" s="30"/>
      <c r="I937" s="30"/>
      <c r="J937" s="30"/>
      <c r="K937" s="30"/>
    </row>
    <row r="938" spans="1:11" ht="13.2">
      <c r="A938" s="82"/>
      <c r="B938" s="82"/>
      <c r="C938" s="117"/>
      <c r="E938" s="118"/>
      <c r="F938" s="82"/>
      <c r="G938" s="30"/>
      <c r="H938" s="30"/>
      <c r="I938" s="30"/>
      <c r="J938" s="30"/>
      <c r="K938" s="30"/>
    </row>
    <row r="939" spans="1:11" ht="13.2">
      <c r="A939" s="82"/>
      <c r="B939" s="82"/>
      <c r="C939" s="117"/>
      <c r="E939" s="118"/>
      <c r="F939" s="82"/>
      <c r="G939" s="30"/>
      <c r="H939" s="30"/>
      <c r="I939" s="30"/>
      <c r="J939" s="30"/>
      <c r="K939" s="30"/>
    </row>
    <row r="940" spans="1:11" ht="13.2">
      <c r="A940" s="82"/>
      <c r="B940" s="82"/>
      <c r="C940" s="117"/>
      <c r="E940" s="118"/>
      <c r="F940" s="82"/>
      <c r="G940" s="30"/>
      <c r="H940" s="30"/>
      <c r="I940" s="30"/>
      <c r="J940" s="30"/>
      <c r="K940" s="30"/>
    </row>
    <row r="941" spans="1:11" ht="13.2">
      <c r="A941" s="82"/>
      <c r="B941" s="82"/>
      <c r="C941" s="117"/>
      <c r="E941" s="118"/>
      <c r="F941" s="82"/>
      <c r="G941" s="30"/>
      <c r="H941" s="30"/>
      <c r="I941" s="30"/>
      <c r="J941" s="30"/>
      <c r="K941" s="30"/>
    </row>
    <row r="942" spans="1:11" ht="13.2">
      <c r="A942" s="82"/>
      <c r="B942" s="82"/>
      <c r="C942" s="117"/>
      <c r="E942" s="118"/>
      <c r="F942" s="82"/>
      <c r="G942" s="30"/>
      <c r="H942" s="30"/>
      <c r="I942" s="30"/>
      <c r="J942" s="30"/>
      <c r="K942" s="30"/>
    </row>
    <row r="943" spans="1:11" ht="13.2">
      <c r="A943" s="82"/>
      <c r="B943" s="82"/>
      <c r="C943" s="117"/>
      <c r="E943" s="118"/>
      <c r="F943" s="82"/>
      <c r="G943" s="30"/>
      <c r="H943" s="30"/>
      <c r="I943" s="30"/>
      <c r="J943" s="30"/>
      <c r="K943" s="30"/>
    </row>
    <row r="944" spans="1:11" ht="13.2">
      <c r="A944" s="82"/>
      <c r="B944" s="82"/>
      <c r="C944" s="117"/>
      <c r="E944" s="118"/>
      <c r="F944" s="82"/>
      <c r="G944" s="30"/>
      <c r="H944" s="30"/>
      <c r="I944" s="30"/>
      <c r="J944" s="30"/>
      <c r="K944" s="30"/>
    </row>
    <row r="945" spans="1:11" ht="13.2">
      <c r="A945" s="82"/>
      <c r="B945" s="82"/>
      <c r="C945" s="117"/>
      <c r="E945" s="118"/>
      <c r="F945" s="82"/>
      <c r="G945" s="30"/>
      <c r="H945" s="30"/>
      <c r="I945" s="30"/>
      <c r="J945" s="30"/>
      <c r="K945" s="30"/>
    </row>
    <row r="946" spans="1:11" ht="13.2">
      <c r="A946" s="82"/>
      <c r="B946" s="82"/>
      <c r="C946" s="117"/>
      <c r="E946" s="118"/>
      <c r="F946" s="82"/>
      <c r="G946" s="30"/>
      <c r="H946" s="30"/>
      <c r="I946" s="30"/>
      <c r="J946" s="30"/>
      <c r="K946" s="30"/>
    </row>
    <row r="947" spans="1:11" ht="13.2">
      <c r="A947" s="82"/>
      <c r="B947" s="82"/>
      <c r="C947" s="117"/>
      <c r="E947" s="118"/>
      <c r="F947" s="82"/>
      <c r="G947" s="30"/>
      <c r="H947" s="30"/>
      <c r="I947" s="30"/>
      <c r="J947" s="30"/>
      <c r="K947" s="30"/>
    </row>
    <row r="948" spans="1:11" ht="13.2">
      <c r="A948" s="82"/>
      <c r="B948" s="82"/>
      <c r="C948" s="117"/>
      <c r="E948" s="118"/>
      <c r="F948" s="82"/>
      <c r="G948" s="30"/>
      <c r="H948" s="30"/>
      <c r="I948" s="30"/>
      <c r="J948" s="30"/>
      <c r="K948" s="30"/>
    </row>
    <row r="949" spans="1:11" ht="13.2">
      <c r="A949" s="82"/>
      <c r="B949" s="82"/>
      <c r="C949" s="117"/>
      <c r="E949" s="118"/>
      <c r="F949" s="82"/>
      <c r="G949" s="30"/>
      <c r="H949" s="30"/>
      <c r="I949" s="30"/>
      <c r="J949" s="30"/>
      <c r="K949" s="30"/>
    </row>
    <row r="950" spans="1:11" ht="13.2">
      <c r="A950" s="82"/>
      <c r="B950" s="82"/>
      <c r="C950" s="117"/>
      <c r="E950" s="118"/>
      <c r="F950" s="82"/>
      <c r="G950" s="30"/>
      <c r="H950" s="30"/>
      <c r="I950" s="30"/>
      <c r="J950" s="30"/>
      <c r="K950" s="30"/>
    </row>
    <row r="951" spans="1:11" ht="13.2">
      <c r="A951" s="82"/>
      <c r="B951" s="82"/>
      <c r="C951" s="117"/>
      <c r="E951" s="118"/>
      <c r="F951" s="82"/>
      <c r="G951" s="30"/>
      <c r="H951" s="30"/>
      <c r="I951" s="30"/>
      <c r="J951" s="30"/>
      <c r="K951" s="30"/>
    </row>
    <row r="952" spans="1:11" ht="13.2">
      <c r="A952" s="82"/>
      <c r="B952" s="82"/>
      <c r="C952" s="117"/>
      <c r="E952" s="118"/>
      <c r="F952" s="82"/>
      <c r="G952" s="30"/>
      <c r="H952" s="30"/>
      <c r="I952" s="30"/>
      <c r="J952" s="30"/>
      <c r="K952" s="30"/>
    </row>
    <row r="953" spans="1:11" ht="13.2">
      <c r="A953" s="82"/>
      <c r="B953" s="82"/>
      <c r="C953" s="117"/>
      <c r="E953" s="118"/>
      <c r="F953" s="82"/>
      <c r="G953" s="30"/>
      <c r="H953" s="30"/>
      <c r="I953" s="30"/>
      <c r="J953" s="30"/>
      <c r="K953" s="30"/>
    </row>
    <row r="954" spans="1:11" ht="13.2">
      <c r="A954" s="82"/>
      <c r="B954" s="82"/>
      <c r="C954" s="117"/>
      <c r="E954" s="118"/>
      <c r="F954" s="82"/>
      <c r="G954" s="30"/>
      <c r="H954" s="30"/>
      <c r="I954" s="30"/>
      <c r="J954" s="30"/>
      <c r="K954" s="30"/>
    </row>
    <row r="955" spans="1:11" ht="13.2">
      <c r="A955" s="82"/>
      <c r="B955" s="82"/>
      <c r="C955" s="117"/>
      <c r="E955" s="118"/>
      <c r="F955" s="82"/>
      <c r="G955" s="30"/>
      <c r="H955" s="30"/>
      <c r="I955" s="30"/>
      <c r="J955" s="30"/>
      <c r="K955" s="30"/>
    </row>
    <row r="956" spans="1:11" ht="13.2">
      <c r="A956" s="82"/>
      <c r="B956" s="82"/>
      <c r="C956" s="117"/>
      <c r="E956" s="118"/>
      <c r="F956" s="82"/>
      <c r="G956" s="30"/>
      <c r="H956" s="30"/>
      <c r="I956" s="30"/>
      <c r="J956" s="30"/>
      <c r="K956" s="30"/>
    </row>
    <row r="957" spans="1:11" ht="13.2">
      <c r="A957" s="82"/>
      <c r="B957" s="82"/>
      <c r="C957" s="117"/>
      <c r="E957" s="118"/>
      <c r="F957" s="82"/>
      <c r="G957" s="30"/>
      <c r="H957" s="30"/>
      <c r="I957" s="30"/>
      <c r="J957" s="30"/>
      <c r="K957" s="30"/>
    </row>
    <row r="958" spans="1:11" ht="13.2">
      <c r="A958" s="82"/>
      <c r="B958" s="82"/>
      <c r="C958" s="117"/>
      <c r="E958" s="118"/>
      <c r="F958" s="82"/>
      <c r="G958" s="30"/>
      <c r="H958" s="30"/>
      <c r="I958" s="30"/>
      <c r="J958" s="30"/>
      <c r="K958" s="30"/>
    </row>
    <row r="959" spans="1:11" ht="13.2">
      <c r="A959" s="82"/>
      <c r="B959" s="82"/>
      <c r="C959" s="117"/>
      <c r="E959" s="118"/>
      <c r="F959" s="82"/>
      <c r="G959" s="30"/>
      <c r="H959" s="30"/>
      <c r="I959" s="30"/>
      <c r="J959" s="30"/>
      <c r="K959" s="30"/>
    </row>
    <row r="960" spans="1:11" ht="13.2">
      <c r="A960" s="82"/>
      <c r="B960" s="82"/>
      <c r="C960" s="117"/>
      <c r="E960" s="118"/>
      <c r="F960" s="82"/>
      <c r="G960" s="30"/>
      <c r="H960" s="30"/>
      <c r="I960" s="30"/>
      <c r="J960" s="30"/>
      <c r="K960" s="30"/>
    </row>
    <row r="961" spans="1:11" ht="13.2">
      <c r="A961" s="82"/>
      <c r="B961" s="82"/>
      <c r="C961" s="117"/>
      <c r="E961" s="118"/>
      <c r="F961" s="82"/>
      <c r="G961" s="30"/>
      <c r="H961" s="30"/>
      <c r="I961" s="30"/>
      <c r="J961" s="30"/>
      <c r="K961" s="30"/>
    </row>
    <row r="962" spans="1:11" ht="13.2">
      <c r="A962" s="82"/>
      <c r="B962" s="82"/>
      <c r="C962" s="117"/>
      <c r="E962" s="118"/>
      <c r="F962" s="82"/>
      <c r="G962" s="30"/>
      <c r="H962" s="30"/>
      <c r="I962" s="30"/>
      <c r="J962" s="30"/>
      <c r="K962" s="30"/>
    </row>
    <row r="963" spans="1:11" ht="13.2">
      <c r="A963" s="82"/>
      <c r="B963" s="82"/>
      <c r="C963" s="117"/>
      <c r="E963" s="118"/>
      <c r="F963" s="82"/>
      <c r="G963" s="30"/>
      <c r="H963" s="30"/>
      <c r="I963" s="30"/>
      <c r="J963" s="30"/>
      <c r="K963" s="30"/>
    </row>
    <row r="964" spans="1:11" ht="13.2">
      <c r="A964" s="82"/>
      <c r="B964" s="82"/>
      <c r="C964" s="117"/>
      <c r="E964" s="118"/>
      <c r="F964" s="82"/>
      <c r="G964" s="30"/>
      <c r="H964" s="30"/>
      <c r="I964" s="30"/>
      <c r="J964" s="30"/>
      <c r="K964" s="30"/>
    </row>
    <row r="965" spans="1:11" ht="13.2">
      <c r="A965" s="82"/>
      <c r="B965" s="82"/>
      <c r="C965" s="117"/>
      <c r="E965" s="118"/>
      <c r="F965" s="82"/>
      <c r="G965" s="30"/>
      <c r="H965" s="30"/>
      <c r="I965" s="30"/>
      <c r="J965" s="30"/>
      <c r="K965" s="30"/>
    </row>
    <row r="966" spans="1:11" ht="13.2">
      <c r="A966" s="82"/>
      <c r="B966" s="82"/>
      <c r="C966" s="117"/>
      <c r="E966" s="118"/>
      <c r="F966" s="82"/>
      <c r="G966" s="30"/>
      <c r="H966" s="30"/>
      <c r="I966" s="30"/>
      <c r="J966" s="30"/>
      <c r="K966" s="30"/>
    </row>
    <row r="967" spans="1:11" ht="13.2">
      <c r="A967" s="82"/>
      <c r="B967" s="82"/>
      <c r="C967" s="117"/>
      <c r="E967" s="118"/>
      <c r="F967" s="82"/>
      <c r="G967" s="30"/>
      <c r="H967" s="30"/>
      <c r="I967" s="30"/>
      <c r="J967" s="30"/>
      <c r="K967" s="30"/>
    </row>
    <row r="968" spans="1:11" ht="13.2">
      <c r="A968" s="82"/>
      <c r="B968" s="82"/>
      <c r="C968" s="117"/>
      <c r="E968" s="118"/>
      <c r="F968" s="82"/>
      <c r="G968" s="30"/>
      <c r="H968" s="30"/>
      <c r="I968" s="30"/>
      <c r="J968" s="30"/>
      <c r="K968" s="30"/>
    </row>
    <row r="969" spans="1:11" ht="13.2">
      <c r="A969" s="82"/>
      <c r="B969" s="82"/>
      <c r="C969" s="117"/>
      <c r="E969" s="118"/>
      <c r="F969" s="82"/>
      <c r="G969" s="30"/>
      <c r="H969" s="30"/>
      <c r="I969" s="30"/>
      <c r="J969" s="30"/>
      <c r="K969" s="30"/>
    </row>
    <row r="970" spans="1:11" ht="13.2">
      <c r="A970" s="82"/>
      <c r="B970" s="82"/>
      <c r="C970" s="117"/>
      <c r="E970" s="118"/>
      <c r="F970" s="82"/>
      <c r="G970" s="30"/>
      <c r="H970" s="30"/>
      <c r="I970" s="30"/>
      <c r="J970" s="30"/>
      <c r="K970" s="30"/>
    </row>
    <row r="971" spans="1:11" ht="13.2">
      <c r="A971" s="82"/>
      <c r="B971" s="82"/>
      <c r="C971" s="117"/>
      <c r="E971" s="118"/>
      <c r="F971" s="82"/>
      <c r="G971" s="30"/>
      <c r="H971" s="30"/>
      <c r="I971" s="30"/>
      <c r="J971" s="30"/>
      <c r="K971" s="30"/>
    </row>
    <row r="972" spans="1:11" ht="13.2">
      <c r="A972" s="82"/>
      <c r="B972" s="82"/>
      <c r="C972" s="117"/>
      <c r="E972" s="118"/>
      <c r="F972" s="82"/>
      <c r="G972" s="30"/>
      <c r="H972" s="30"/>
      <c r="I972" s="30"/>
      <c r="J972" s="30"/>
      <c r="K972" s="30"/>
    </row>
    <row r="973" spans="1:11" ht="13.2">
      <c r="A973" s="82"/>
      <c r="B973" s="82"/>
      <c r="C973" s="117"/>
      <c r="E973" s="118"/>
      <c r="F973" s="82"/>
      <c r="G973" s="30"/>
      <c r="H973" s="30"/>
      <c r="I973" s="30"/>
      <c r="J973" s="30"/>
      <c r="K973" s="30"/>
    </row>
    <row r="974" spans="1:11" ht="13.2">
      <c r="A974" s="82"/>
      <c r="B974" s="82"/>
      <c r="C974" s="117"/>
      <c r="E974" s="118"/>
      <c r="F974" s="82"/>
      <c r="G974" s="30"/>
      <c r="H974" s="30"/>
      <c r="I974" s="30"/>
      <c r="J974" s="30"/>
      <c r="K974" s="30"/>
    </row>
    <row r="975" spans="1:11" ht="13.2">
      <c r="A975" s="82"/>
      <c r="B975" s="82"/>
      <c r="C975" s="117"/>
      <c r="E975" s="118"/>
      <c r="F975" s="82"/>
      <c r="G975" s="30"/>
      <c r="H975" s="30"/>
      <c r="I975" s="30"/>
      <c r="J975" s="30"/>
      <c r="K975" s="30"/>
    </row>
    <row r="976" spans="1:11" ht="13.2">
      <c r="A976" s="82"/>
      <c r="B976" s="82"/>
      <c r="C976" s="117"/>
      <c r="E976" s="118"/>
      <c r="F976" s="82"/>
      <c r="G976" s="30"/>
      <c r="H976" s="30"/>
      <c r="I976" s="30"/>
      <c r="J976" s="30"/>
      <c r="K976" s="30"/>
    </row>
    <row r="977" spans="1:11" ht="13.2">
      <c r="A977" s="82"/>
      <c r="B977" s="82"/>
      <c r="C977" s="117"/>
      <c r="E977" s="118"/>
      <c r="F977" s="82"/>
      <c r="G977" s="30"/>
      <c r="H977" s="30"/>
      <c r="I977" s="30"/>
      <c r="J977" s="30"/>
      <c r="K977" s="30"/>
    </row>
    <row r="978" spans="1:11" ht="13.2">
      <c r="A978" s="82"/>
      <c r="B978" s="82"/>
      <c r="C978" s="117"/>
      <c r="E978" s="118"/>
      <c r="F978" s="82"/>
      <c r="G978" s="30"/>
      <c r="H978" s="30"/>
      <c r="I978" s="30"/>
      <c r="J978" s="30"/>
      <c r="K978" s="30"/>
    </row>
    <row r="979" spans="1:11" ht="13.2">
      <c r="A979" s="82"/>
      <c r="B979" s="82"/>
      <c r="C979" s="117"/>
      <c r="E979" s="118"/>
      <c r="F979" s="82"/>
      <c r="G979" s="30"/>
      <c r="H979" s="30"/>
      <c r="I979" s="30"/>
      <c r="J979" s="30"/>
      <c r="K979" s="30"/>
    </row>
    <row r="980" spans="1:11" ht="13.2">
      <c r="A980" s="82"/>
      <c r="B980" s="82"/>
      <c r="C980" s="117"/>
      <c r="E980" s="118"/>
      <c r="F980" s="82"/>
      <c r="G980" s="30"/>
      <c r="H980" s="30"/>
      <c r="I980" s="30"/>
      <c r="J980" s="30"/>
      <c r="K980" s="30"/>
    </row>
    <row r="981" spans="1:11" ht="13.2">
      <c r="A981" s="82"/>
      <c r="B981" s="82"/>
      <c r="C981" s="117"/>
      <c r="E981" s="118"/>
      <c r="F981" s="82"/>
      <c r="G981" s="30"/>
      <c r="H981" s="30"/>
      <c r="I981" s="30"/>
      <c r="J981" s="30"/>
      <c r="K981" s="30"/>
    </row>
    <row r="982" spans="1:11" ht="13.2">
      <c r="A982" s="82"/>
      <c r="B982" s="82"/>
      <c r="C982" s="117"/>
      <c r="E982" s="118"/>
      <c r="F982" s="82"/>
      <c r="G982" s="30"/>
      <c r="H982" s="30"/>
      <c r="I982" s="30"/>
      <c r="J982" s="30"/>
      <c r="K982" s="30"/>
    </row>
    <row r="983" spans="1:11" ht="13.2">
      <c r="A983" s="82"/>
      <c r="B983" s="82"/>
      <c r="C983" s="117"/>
      <c r="E983" s="118"/>
      <c r="F983" s="82"/>
      <c r="G983" s="30"/>
      <c r="H983" s="30"/>
      <c r="I983" s="30"/>
      <c r="J983" s="30"/>
      <c r="K983" s="30"/>
    </row>
    <row r="984" spans="1:11" ht="13.2">
      <c r="A984" s="82"/>
      <c r="B984" s="82"/>
      <c r="C984" s="117"/>
      <c r="E984" s="118"/>
      <c r="F984" s="82"/>
      <c r="G984" s="30"/>
      <c r="H984" s="30"/>
      <c r="I984" s="30"/>
      <c r="J984" s="30"/>
      <c r="K984" s="30"/>
    </row>
    <row r="985" spans="1:11" ht="13.2">
      <c r="A985" s="82"/>
      <c r="B985" s="82"/>
      <c r="C985" s="117"/>
      <c r="E985" s="118"/>
      <c r="F985" s="82"/>
      <c r="G985" s="30"/>
      <c r="H985" s="30"/>
      <c r="I985" s="30"/>
      <c r="J985" s="30"/>
      <c r="K985" s="30"/>
    </row>
    <row r="986" spans="1:11" ht="13.2">
      <c r="A986" s="82"/>
      <c r="B986" s="82"/>
      <c r="C986" s="117"/>
      <c r="E986" s="118"/>
      <c r="F986" s="82"/>
      <c r="G986" s="30"/>
      <c r="H986" s="30"/>
      <c r="I986" s="30"/>
      <c r="J986" s="30"/>
      <c r="K986" s="30"/>
    </row>
    <row r="987" spans="1:11" ht="13.2">
      <c r="A987" s="82"/>
      <c r="B987" s="82"/>
      <c r="C987" s="117"/>
      <c r="E987" s="118"/>
      <c r="F987" s="82"/>
      <c r="G987" s="30"/>
      <c r="H987" s="30"/>
      <c r="I987" s="30"/>
      <c r="J987" s="30"/>
      <c r="K987" s="30"/>
    </row>
    <row r="988" spans="1:11" ht="13.2">
      <c r="A988" s="82"/>
      <c r="B988" s="82"/>
      <c r="C988" s="117"/>
      <c r="E988" s="118"/>
      <c r="F988" s="82"/>
      <c r="G988" s="30"/>
      <c r="H988" s="30"/>
      <c r="I988" s="30"/>
      <c r="J988" s="30"/>
      <c r="K988" s="30"/>
    </row>
    <row r="989" spans="1:11" ht="13.2">
      <c r="A989" s="82"/>
      <c r="B989" s="82"/>
      <c r="C989" s="117"/>
      <c r="E989" s="118"/>
      <c r="F989" s="82"/>
      <c r="G989" s="30"/>
      <c r="H989" s="30"/>
      <c r="I989" s="30"/>
      <c r="J989" s="30"/>
      <c r="K989" s="30"/>
    </row>
    <row r="990" spans="1:11" ht="13.2">
      <c r="A990" s="82"/>
      <c r="B990" s="82"/>
      <c r="C990" s="117"/>
      <c r="E990" s="118"/>
      <c r="F990" s="82"/>
      <c r="G990" s="30"/>
      <c r="H990" s="30"/>
      <c r="I990" s="30"/>
      <c r="J990" s="30"/>
      <c r="K990" s="30"/>
    </row>
    <row r="991" spans="1:11" ht="13.2">
      <c r="A991" s="82"/>
      <c r="B991" s="82"/>
      <c r="C991" s="117"/>
      <c r="E991" s="118"/>
      <c r="F991" s="82"/>
      <c r="G991" s="30"/>
      <c r="H991" s="30"/>
      <c r="I991" s="30"/>
      <c r="J991" s="30"/>
      <c r="K991" s="30"/>
    </row>
    <row r="992" spans="1:11" ht="13.2">
      <c r="A992" s="82"/>
      <c r="B992" s="82"/>
      <c r="C992" s="117"/>
      <c r="E992" s="118"/>
      <c r="F992" s="82"/>
      <c r="G992" s="30"/>
      <c r="H992" s="30"/>
      <c r="I992" s="30"/>
      <c r="J992" s="30"/>
      <c r="K992" s="30"/>
    </row>
    <row r="993" spans="1:11" ht="13.2">
      <c r="A993" s="82"/>
      <c r="B993" s="82"/>
      <c r="C993" s="117"/>
      <c r="E993" s="118"/>
      <c r="F993" s="82"/>
      <c r="G993" s="30"/>
      <c r="H993" s="30"/>
      <c r="I993" s="30"/>
      <c r="J993" s="30"/>
      <c r="K993" s="30"/>
    </row>
    <row r="994" spans="1:11" ht="13.2">
      <c r="A994" s="82"/>
      <c r="B994" s="82"/>
      <c r="C994" s="117"/>
      <c r="E994" s="118"/>
      <c r="F994" s="82"/>
      <c r="G994" s="30"/>
      <c r="H994" s="30"/>
      <c r="I994" s="30"/>
      <c r="J994" s="30"/>
      <c r="K994" s="30"/>
    </row>
    <row r="995" spans="1:11" ht="13.2">
      <c r="A995" s="82"/>
      <c r="B995" s="82"/>
      <c r="C995" s="117"/>
      <c r="E995" s="118"/>
      <c r="F995" s="82"/>
      <c r="G995" s="30"/>
      <c r="H995" s="30"/>
      <c r="I995" s="30"/>
      <c r="J995" s="30"/>
      <c r="K995" s="30"/>
    </row>
    <row r="996" spans="1:11" ht="13.2">
      <c r="A996" s="82"/>
      <c r="B996" s="82"/>
      <c r="C996" s="117"/>
      <c r="E996" s="118"/>
      <c r="F996" s="82"/>
      <c r="G996" s="30"/>
      <c r="H996" s="30"/>
      <c r="I996" s="30"/>
      <c r="J996" s="30"/>
      <c r="K996" s="30"/>
    </row>
    <row r="997" spans="1:11" ht="13.2">
      <c r="A997" s="82"/>
      <c r="B997" s="82"/>
      <c r="C997" s="117"/>
      <c r="E997" s="118"/>
      <c r="F997" s="82"/>
      <c r="G997" s="30"/>
      <c r="H997" s="30"/>
      <c r="I997" s="30"/>
      <c r="J997" s="30"/>
      <c r="K997" s="30"/>
    </row>
    <row r="998" spans="1:11" ht="13.2">
      <c r="A998" s="82"/>
      <c r="B998" s="82"/>
      <c r="C998" s="117"/>
      <c r="E998" s="118"/>
      <c r="F998" s="82"/>
      <c r="G998" s="30"/>
      <c r="H998" s="30"/>
      <c r="I998" s="30"/>
      <c r="J998" s="30"/>
      <c r="K998" s="30"/>
    </row>
    <row r="999" spans="1:11" ht="13.2">
      <c r="A999" s="82"/>
      <c r="B999" s="82"/>
      <c r="C999" s="117"/>
      <c r="E999" s="118"/>
      <c r="F999" s="82"/>
      <c r="G999" s="30"/>
      <c r="H999" s="30"/>
      <c r="I999" s="30"/>
      <c r="J999" s="30"/>
      <c r="K999" s="30"/>
    </row>
    <row r="1000" spans="1:11" ht="13.2">
      <c r="A1000" s="82"/>
      <c r="B1000" s="82"/>
      <c r="C1000" s="117"/>
      <c r="E1000" s="118"/>
      <c r="F1000" s="82"/>
      <c r="G1000" s="30"/>
      <c r="H1000" s="30"/>
      <c r="I1000" s="30"/>
      <c r="J1000" s="30"/>
      <c r="K1000" s="30"/>
    </row>
    <row r="1001" spans="1:11" ht="13.2">
      <c r="A1001" s="82"/>
      <c r="B1001" s="82"/>
      <c r="C1001" s="117"/>
      <c r="E1001" s="118"/>
      <c r="F1001" s="82"/>
      <c r="G1001" s="30"/>
      <c r="H1001" s="30"/>
      <c r="I1001" s="30"/>
      <c r="J1001" s="30"/>
      <c r="K1001" s="30"/>
    </row>
    <row r="1002" spans="1:11" ht="13.2">
      <c r="A1002" s="82"/>
      <c r="B1002" s="82"/>
      <c r="C1002" s="117"/>
      <c r="E1002" s="118"/>
      <c r="F1002" s="82"/>
      <c r="G1002" s="30"/>
      <c r="H1002" s="30"/>
      <c r="I1002" s="30"/>
      <c r="J1002" s="30"/>
      <c r="K1002" s="30"/>
    </row>
    <row r="1003" spans="1:11" ht="13.2">
      <c r="A1003" s="82"/>
      <c r="B1003" s="82"/>
      <c r="C1003" s="117"/>
      <c r="E1003" s="118"/>
      <c r="F1003" s="82"/>
      <c r="G1003" s="30"/>
      <c r="H1003" s="30"/>
      <c r="I1003" s="30"/>
      <c r="J1003" s="30"/>
      <c r="K1003" s="30"/>
    </row>
  </sheetData>
  <mergeCells count="2">
    <mergeCell ref="A1:F1"/>
    <mergeCell ref="G2:K2"/>
  </mergeCells>
  <conditionalFormatting sqref="E1:E1003">
    <cfRule type="containsText" dxfId="0" priority="1" operator="containsText" text="SŠ">
      <formula>NOT(ISERROR(SEARCH(("SŠ"),(E1))))</formula>
    </cfRule>
  </conditionalFormatting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G179"/>
  <sheetViews>
    <sheetView workbookViewId="0"/>
  </sheetViews>
  <sheetFormatPr defaultColWidth="14.44140625" defaultRowHeight="15.75" customHeight="1"/>
  <sheetData>
    <row r="1" spans="1:33" ht="15.75" customHeight="1">
      <c r="A1" s="122" t="str">
        <f ca="1">IFERROR(__xludf.DUMMYFUNCTION("importrange(""https://docs.google.com/spreadsheets/d/171Ks33sU-ppMGCAY1iSTjDfn7-ZBPYwCEHy2SDC24QU/edit#gid=75297695"", ""Celkova!A1:AZ"")"),"ROBOTIÁDA 2020 STARTOVNÍ LISTINA -  ČASY JEDNOTLIVÝCH ROZJÍŽDĚK (starting times)")</f>
        <v>ROBOTIÁDA 2020 STARTOVNÍ LISTINA -  ČASY JEDNOTLIVÝCH ROZJÍŽDĚK (starting times)</v>
      </c>
      <c r="B1" t="str">
        <f ca="1">IFERROR(__xludf.DUMMYFUNCTION("""COMPUTED_VALUE"""),"")</f>
        <v/>
      </c>
      <c r="C1" t="str">
        <f ca="1">IFERROR(__xludf.DUMMYFUNCTION("""COMPUTED_VALUE"""),"")</f>
        <v/>
      </c>
      <c r="D1" t="str">
        <f ca="1">IFERROR(__xludf.DUMMYFUNCTION("""COMPUTED_VALUE"""),"")</f>
        <v/>
      </c>
      <c r="E1" t="str">
        <f ca="1">IFERROR(__xludf.DUMMYFUNCTION("""COMPUTED_VALUE"""),"")</f>
        <v/>
      </c>
      <c r="F1" t="str">
        <f ca="1">IFERROR(__xludf.DUMMYFUNCTION("""COMPUTED_VALUE"""),"")</f>
        <v/>
      </c>
      <c r="G1" t="str">
        <f ca="1">IFERROR(__xludf.DUMMYFUNCTION("""COMPUTED_VALUE"""),"")</f>
        <v/>
      </c>
      <c r="H1" t="str">
        <f ca="1">IFERROR(__xludf.DUMMYFUNCTION("""COMPUTED_VALUE"""),"")</f>
        <v/>
      </c>
      <c r="I1" t="str">
        <f ca="1">IFERROR(__xludf.DUMMYFUNCTION("""COMPUTED_VALUE"""),"")</f>
        <v/>
      </c>
      <c r="J1" t="str">
        <f ca="1">IFERROR(__xludf.DUMMYFUNCTION("""COMPUTED_VALUE"""),"")</f>
        <v/>
      </c>
      <c r="K1" t="str">
        <f ca="1">IFERROR(__xludf.DUMMYFUNCTION("""COMPUTED_VALUE"""),"")</f>
        <v/>
      </c>
      <c r="L1" t="str">
        <f ca="1">IFERROR(__xludf.DUMMYFUNCTION("""COMPUTED_VALUE"""),"")</f>
        <v/>
      </c>
      <c r="M1" t="str">
        <f ca="1">IFERROR(__xludf.DUMMYFUNCTION("""COMPUTED_VALUE"""),"")</f>
        <v/>
      </c>
      <c r="N1" t="str">
        <f ca="1">IFERROR(__xludf.DUMMYFUNCTION("""COMPUTED_VALUE"""),"")</f>
        <v/>
      </c>
      <c r="O1" t="str">
        <f ca="1">IFERROR(__xludf.DUMMYFUNCTION("""COMPUTED_VALUE"""),"")</f>
        <v/>
      </c>
      <c r="P1" t="str">
        <f ca="1">IFERROR(__xludf.DUMMYFUNCTION("""COMPUTED_VALUE"""),"")</f>
        <v/>
      </c>
      <c r="Q1" t="str">
        <f ca="1">IFERROR(__xludf.DUMMYFUNCTION("""COMPUTED_VALUE"""),"")</f>
        <v/>
      </c>
      <c r="R1" t="str">
        <f ca="1">IFERROR(__xludf.DUMMYFUNCTION("""COMPUTED_VALUE"""),"")</f>
        <v/>
      </c>
      <c r="S1" t="str">
        <f ca="1">IFERROR(__xludf.DUMMYFUNCTION("""COMPUTED_VALUE"""),"")</f>
        <v/>
      </c>
      <c r="T1" t="str">
        <f ca="1">IFERROR(__xludf.DUMMYFUNCTION("""COMPUTED_VALUE"""),"")</f>
        <v/>
      </c>
      <c r="U1" t="str">
        <f ca="1">IFERROR(__xludf.DUMMYFUNCTION("""COMPUTED_VALUE"""),"")</f>
        <v/>
      </c>
      <c r="V1" t="str">
        <f ca="1">IFERROR(__xludf.DUMMYFUNCTION("""COMPUTED_VALUE"""),"")</f>
        <v/>
      </c>
      <c r="W1" t="str">
        <f ca="1">IFERROR(__xludf.DUMMYFUNCTION("""COMPUTED_VALUE"""),"")</f>
        <v/>
      </c>
      <c r="X1" t="str">
        <f ca="1">IFERROR(__xludf.DUMMYFUNCTION("""COMPUTED_VALUE"""),"")</f>
        <v/>
      </c>
      <c r="Y1" t="str">
        <f ca="1">IFERROR(__xludf.DUMMYFUNCTION("""COMPUTED_VALUE"""),"")</f>
        <v/>
      </c>
      <c r="Z1" t="str">
        <f ca="1">IFERROR(__xludf.DUMMYFUNCTION("""COMPUTED_VALUE"""),"")</f>
        <v/>
      </c>
      <c r="AA1" t="str">
        <f ca="1">IFERROR(__xludf.DUMMYFUNCTION("""COMPUTED_VALUE"""),"")</f>
        <v/>
      </c>
      <c r="AB1" t="str">
        <f ca="1">IFERROR(__xludf.DUMMYFUNCTION("""COMPUTED_VALUE"""),"")</f>
        <v/>
      </c>
      <c r="AC1" t="str">
        <f ca="1">IFERROR(__xludf.DUMMYFUNCTION("""COMPUTED_VALUE"""),"")</f>
        <v/>
      </c>
      <c r="AD1" t="str">
        <f ca="1">IFERROR(__xludf.DUMMYFUNCTION("""COMPUTED_VALUE"""),"")</f>
        <v/>
      </c>
      <c r="AE1" t="str">
        <f ca="1">IFERROR(__xludf.DUMMYFUNCTION("""COMPUTED_VALUE"""),"")</f>
        <v/>
      </c>
      <c r="AF1" t="str">
        <f ca="1">IFERROR(__xludf.DUMMYFUNCTION("""COMPUTED_VALUE"""),"")</f>
        <v/>
      </c>
      <c r="AG1" t="str">
        <f ca="1">IFERROR(__xludf.DUMMYFUNCTION("""COMPUTED_VALUE"""),"")</f>
        <v/>
      </c>
    </row>
    <row r="2" spans="1:33" ht="15.75" customHeight="1">
      <c r="A2" t="str">
        <f ca="1">IFERROR(__xludf.DUMMYFUNCTION("""COMPUTED_VALUE"""),"")</f>
        <v/>
      </c>
      <c r="B2" t="str">
        <f ca="1">IFERROR(__xludf.DUMMYFUNCTION("""COMPUTED_VALUE"""),"")</f>
        <v/>
      </c>
      <c r="C2" t="str">
        <f ca="1">IFERROR(__xludf.DUMMYFUNCTION("""COMPUTED_VALUE"""),"")</f>
        <v/>
      </c>
      <c r="D2" t="str">
        <f ca="1">IFERROR(__xludf.DUMMYFUNCTION("""COMPUTED_VALUE"""),"")</f>
        <v/>
      </c>
      <c r="E2" t="str">
        <f ca="1">IFERROR(__xludf.DUMMYFUNCTION("""COMPUTED_VALUE"""),"")</f>
        <v/>
      </c>
      <c r="F2" t="str">
        <f ca="1">IFERROR(__xludf.DUMMYFUNCTION("""COMPUTED_VALUE"""),"")</f>
        <v/>
      </c>
      <c r="G2" t="str">
        <f ca="1">IFERROR(__xludf.DUMMYFUNCTION("""COMPUTED_VALUE"""),"")</f>
        <v/>
      </c>
      <c r="H2" t="str">
        <f ca="1">IFERROR(__xludf.DUMMYFUNCTION("""COMPUTED_VALUE"""),"")</f>
        <v/>
      </c>
      <c r="I2" t="str">
        <f ca="1">IFERROR(__xludf.DUMMYFUNCTION("""COMPUTED_VALUE"""),"")</f>
        <v/>
      </c>
      <c r="J2" t="str">
        <f ca="1">IFERROR(__xludf.DUMMYFUNCTION("""COMPUTED_VALUE"""),"")</f>
        <v/>
      </c>
      <c r="K2" t="str">
        <f ca="1">IFERROR(__xludf.DUMMYFUNCTION("""COMPUTED_VALUE"""),"")</f>
        <v/>
      </c>
      <c r="L2" t="str">
        <f ca="1">IFERROR(__xludf.DUMMYFUNCTION("""COMPUTED_VALUE"""),"")</f>
        <v/>
      </c>
      <c r="M2" t="str">
        <f ca="1">IFERROR(__xludf.DUMMYFUNCTION("""COMPUTED_VALUE"""),"")</f>
        <v/>
      </c>
      <c r="N2" t="str">
        <f ca="1">IFERROR(__xludf.DUMMYFUNCTION("""COMPUTED_VALUE"""),"")</f>
        <v/>
      </c>
      <c r="O2" t="str">
        <f ca="1">IFERROR(__xludf.DUMMYFUNCTION("""COMPUTED_VALUE"""),"")</f>
        <v/>
      </c>
      <c r="P2" t="str">
        <f ca="1">IFERROR(__xludf.DUMMYFUNCTION("""COMPUTED_VALUE"""),"")</f>
        <v/>
      </c>
      <c r="Q2" t="str">
        <f ca="1">IFERROR(__xludf.DUMMYFUNCTION("""COMPUTED_VALUE"""),"")</f>
        <v/>
      </c>
      <c r="R2" t="str">
        <f ca="1">IFERROR(__xludf.DUMMYFUNCTION("""COMPUTED_VALUE"""),"")</f>
        <v/>
      </c>
      <c r="S2" t="str">
        <f ca="1">IFERROR(__xludf.DUMMYFUNCTION("""COMPUTED_VALUE"""),"")</f>
        <v/>
      </c>
      <c r="T2" t="str">
        <f ca="1">IFERROR(__xludf.DUMMYFUNCTION("""COMPUTED_VALUE"""),"")</f>
        <v/>
      </c>
      <c r="U2" t="str">
        <f ca="1">IFERROR(__xludf.DUMMYFUNCTION("""COMPUTED_VALUE"""),"")</f>
        <v/>
      </c>
      <c r="V2" t="str">
        <f ca="1">IFERROR(__xludf.DUMMYFUNCTION("""COMPUTED_VALUE"""),"")</f>
        <v/>
      </c>
      <c r="W2" t="str">
        <f ca="1">IFERROR(__xludf.DUMMYFUNCTION("""COMPUTED_VALUE"""),"")</f>
        <v/>
      </c>
      <c r="X2" t="str">
        <f ca="1">IFERROR(__xludf.DUMMYFUNCTION("""COMPUTED_VALUE"""),"")</f>
        <v/>
      </c>
      <c r="Y2" t="str">
        <f ca="1">IFERROR(__xludf.DUMMYFUNCTION("""COMPUTED_VALUE"""),"")</f>
        <v/>
      </c>
      <c r="Z2" t="str">
        <f ca="1">IFERROR(__xludf.DUMMYFUNCTION("""COMPUTED_VALUE"""),"")</f>
        <v/>
      </c>
      <c r="AA2" t="str">
        <f ca="1">IFERROR(__xludf.DUMMYFUNCTION("""COMPUTED_VALUE"""),"")</f>
        <v/>
      </c>
      <c r="AB2" t="str">
        <f ca="1">IFERROR(__xludf.DUMMYFUNCTION("""COMPUTED_VALUE"""),"")</f>
        <v/>
      </c>
      <c r="AC2" t="str">
        <f ca="1">IFERROR(__xludf.DUMMYFUNCTION("""COMPUTED_VALUE"""),"")</f>
        <v/>
      </c>
      <c r="AD2" t="str">
        <f ca="1">IFERROR(__xludf.DUMMYFUNCTION("""COMPUTED_VALUE"""),"")</f>
        <v/>
      </c>
      <c r="AE2" t="str">
        <f ca="1">IFERROR(__xludf.DUMMYFUNCTION("""COMPUTED_VALUE"""),"")</f>
        <v/>
      </c>
      <c r="AF2" t="str">
        <f ca="1">IFERROR(__xludf.DUMMYFUNCTION("""COMPUTED_VALUE"""),"")</f>
        <v/>
      </c>
      <c r="AG2" t="str">
        <f ca="1">IFERROR(__xludf.DUMMYFUNCTION("""COMPUTED_VALUE"""),"")</f>
        <v/>
      </c>
    </row>
    <row r="3" spans="1:33" ht="15.75" customHeight="1">
      <c r="A3" t="str">
        <f ca="1">IFERROR(__xludf.DUMMYFUNCTION("""COMPUTED_VALUE"""),"")</f>
        <v/>
      </c>
      <c r="B3" t="str">
        <f ca="1">IFERROR(__xludf.DUMMYFUNCTION("""COMPUTED_VALUE"""),"")</f>
        <v/>
      </c>
      <c r="C3" t="str">
        <f ca="1">IFERROR(__xludf.DUMMYFUNCTION("""COMPUTED_VALUE"""),"")</f>
        <v/>
      </c>
      <c r="D3" t="str">
        <f ca="1">IFERROR(__xludf.DUMMYFUNCTION("""COMPUTED_VALUE"""),"")</f>
        <v/>
      </c>
      <c r="E3" t="str">
        <f ca="1">IFERROR(__xludf.DUMMYFUNCTION("""COMPUTED_VALUE"""),"")</f>
        <v/>
      </c>
      <c r="F3" t="str">
        <f ca="1">IFERROR(__xludf.DUMMYFUNCTION("""COMPUTED_VALUE"""),"")</f>
        <v/>
      </c>
      <c r="G3" t="str">
        <f ca="1">IFERROR(__xludf.DUMMYFUNCTION("""COMPUTED_VALUE"""),"")</f>
        <v/>
      </c>
      <c r="H3" t="str">
        <f ca="1">IFERROR(__xludf.DUMMYFUNCTION("""COMPUTED_VALUE"""),"")</f>
        <v/>
      </c>
      <c r="I3" t="str">
        <f ca="1">IFERROR(__xludf.DUMMYFUNCTION("""COMPUTED_VALUE"""),"")</f>
        <v/>
      </c>
      <c r="J3" t="str">
        <f ca="1">IFERROR(__xludf.DUMMYFUNCTION("""COMPUTED_VALUE"""),"")</f>
        <v/>
      </c>
      <c r="K3" t="str">
        <f ca="1">IFERROR(__xludf.DUMMYFUNCTION("""COMPUTED_VALUE"""),"")</f>
        <v/>
      </c>
      <c r="L3" t="str">
        <f ca="1">IFERROR(__xludf.DUMMYFUNCTION("""COMPUTED_VALUE"""),"")</f>
        <v/>
      </c>
      <c r="M3" t="str">
        <f ca="1">IFERROR(__xludf.DUMMYFUNCTION("""COMPUTED_VALUE"""),"")</f>
        <v/>
      </c>
      <c r="N3" t="str">
        <f ca="1">IFERROR(__xludf.DUMMYFUNCTION("""COMPUTED_VALUE"""),"")</f>
        <v/>
      </c>
      <c r="O3" t="str">
        <f ca="1">IFERROR(__xludf.DUMMYFUNCTION("""COMPUTED_VALUE"""),"")</f>
        <v/>
      </c>
      <c r="P3" t="str">
        <f ca="1">IFERROR(__xludf.DUMMYFUNCTION("""COMPUTED_VALUE"""),"")</f>
        <v/>
      </c>
      <c r="Q3" t="str">
        <f ca="1">IFERROR(__xludf.DUMMYFUNCTION("""COMPUTED_VALUE"""),"")</f>
        <v/>
      </c>
      <c r="R3" t="str">
        <f ca="1">IFERROR(__xludf.DUMMYFUNCTION("""COMPUTED_VALUE"""),"")</f>
        <v/>
      </c>
      <c r="S3" t="str">
        <f ca="1">IFERROR(__xludf.DUMMYFUNCTION("""COMPUTED_VALUE"""),"")</f>
        <v/>
      </c>
      <c r="T3" t="str">
        <f ca="1">IFERROR(__xludf.DUMMYFUNCTION("""COMPUTED_VALUE"""),"")</f>
        <v/>
      </c>
      <c r="U3" t="str">
        <f ca="1">IFERROR(__xludf.DUMMYFUNCTION("""COMPUTED_VALUE"""),"")</f>
        <v/>
      </c>
      <c r="V3" t="str">
        <f ca="1">IFERROR(__xludf.DUMMYFUNCTION("""COMPUTED_VALUE"""),"")</f>
        <v/>
      </c>
      <c r="W3" t="str">
        <f ca="1">IFERROR(__xludf.DUMMYFUNCTION("""COMPUTED_VALUE"""),"")</f>
        <v/>
      </c>
      <c r="X3" t="str">
        <f ca="1">IFERROR(__xludf.DUMMYFUNCTION("""COMPUTED_VALUE"""),"")</f>
        <v/>
      </c>
      <c r="Y3" t="str">
        <f ca="1">IFERROR(__xludf.DUMMYFUNCTION("""COMPUTED_VALUE"""),"")</f>
        <v/>
      </c>
      <c r="Z3">
        <f ca="1">IFERROR(__xludf.DUMMYFUNCTION("""COMPUTED_VALUE"""),90)</f>
        <v>90</v>
      </c>
      <c r="AA3">
        <f ca="1">IFERROR(__xludf.DUMMYFUNCTION("""COMPUTED_VALUE"""),37)</f>
        <v>37</v>
      </c>
      <c r="AB3">
        <f ca="1">IFERROR(__xludf.DUMMYFUNCTION("""COMPUTED_VALUE"""),51)</f>
        <v>51</v>
      </c>
      <c r="AC3">
        <f ca="1">IFERROR(__xludf.DUMMYFUNCTION("""COMPUTED_VALUE"""),80)</f>
        <v>80</v>
      </c>
      <c r="AD3">
        <f ca="1">IFERROR(__xludf.DUMMYFUNCTION("""COMPUTED_VALUE"""),16)</f>
        <v>16</v>
      </c>
      <c r="AE3">
        <f ca="1">IFERROR(__xludf.DUMMYFUNCTION("""COMPUTED_VALUE"""),23)</f>
        <v>23</v>
      </c>
      <c r="AF3">
        <f ca="1">IFERROR(__xludf.DUMMYFUNCTION("""COMPUTED_VALUE"""),1)</f>
        <v>1</v>
      </c>
      <c r="AG3" t="str">
        <f ca="1">IFERROR(__xludf.DUMMYFUNCTION("""COMPUTED_VALUE"""),"")</f>
        <v/>
      </c>
    </row>
    <row r="4" spans="1:33" ht="15.75" customHeight="1">
      <c r="A4" t="str">
        <f ca="1">IFERROR(__xludf.DUMMYFUNCTION("""COMPUTED_VALUE"""),"číslo týmu/ team No.")</f>
        <v>číslo týmu/ team No.</v>
      </c>
      <c r="B4" t="str">
        <f ca="1">IFERROR(__xludf.DUMMYFUNCTION("""COMPUTED_VALUE"""),"Město/Town")</f>
        <v>Město/Town</v>
      </c>
      <c r="C4" t="str">
        <f ca="1">IFERROR(__xludf.DUMMYFUNCTION("""COMPUTED_VALUE"""),"Škola / organization")</f>
        <v>Škola / organization</v>
      </c>
      <c r="D4" t="str">
        <f ca="1">IFERROR(__xludf.DUMMYFUNCTION("""COMPUTED_VALUE"""),"Název týmu/Team name")</f>
        <v>Název týmu/Team name</v>
      </c>
      <c r="E4" t="str">
        <f ca="1">IFERROR(__xludf.DUMMYFUNCTION("""COMPUTED_VALUE"""),"čára (line follower) - časy rozjížděk (starting times)")</f>
        <v>čára (line follower) - časy rozjížděk (starting times)</v>
      </c>
      <c r="F4" t="str">
        <f ca="1">IFERROR(__xludf.DUMMYFUNCTION("""COMPUTED_VALUE"""),"")</f>
        <v/>
      </c>
      <c r="G4" t="str">
        <f ca="1">IFERROR(__xludf.DUMMYFUNCTION("""COMPUTED_VALUE"""),"")</f>
        <v/>
      </c>
      <c r="H4" t="str">
        <f ca="1">IFERROR(__xludf.DUMMYFUNCTION("""COMPUTED_VALUE"""),"")</f>
        <v/>
      </c>
      <c r="I4" t="str">
        <f ca="1">IFERROR(__xludf.DUMMYFUNCTION("""COMPUTED_VALUE"""),"")</f>
        <v/>
      </c>
      <c r="J4" t="str">
        <f ca="1">IFERROR(__xludf.DUMMYFUNCTION("""COMPUTED_VALUE"""),"")</f>
        <v/>
      </c>
      <c r="K4" t="str">
        <f ca="1">IFERROR(__xludf.DUMMYFUNCTION("""COMPUTED_VALUE"""),"AM (bear rescue advance) - rozjížďky")</f>
        <v>AM (bear rescue advance) - rozjížďky</v>
      </c>
      <c r="L4" t="str">
        <f ca="1">IFERROR(__xludf.DUMMYFUNCTION("""COMPUTED_VALUE"""),"")</f>
        <v/>
      </c>
      <c r="M4" t="str">
        <f ca="1">IFERROR(__xludf.DUMMYFUNCTION("""COMPUTED_VALUE"""),"")</f>
        <v/>
      </c>
      <c r="N4" t="str">
        <f ca="1">IFERROR(__xludf.DUMMYFUNCTION("""COMPUTED_VALUE"""),"")</f>
        <v/>
      </c>
      <c r="O4" t="str">
        <f ca="1">IFERROR(__xludf.DUMMYFUNCTION("""COMPUTED_VALUE"""),"DM (bear rescue)")</f>
        <v>DM (bear rescue)</v>
      </c>
      <c r="P4" t="str">
        <f ca="1">IFERROR(__xludf.DUMMYFUNCTION("""COMPUTED_VALUE"""),"")</f>
        <v/>
      </c>
      <c r="Q4" t="str">
        <f ca="1">IFERROR(__xludf.DUMMYFUNCTION("""COMPUTED_VALUE"""),"Sprint (drag race) - LEGO")</f>
        <v>Sprint (drag race) - LEGO</v>
      </c>
      <c r="R4" t="str">
        <f ca="1">IFERROR(__xludf.DUMMYFUNCTION("""COMPUTED_VALUE"""),"")</f>
        <v/>
      </c>
      <c r="S4" t="str">
        <f ca="1">IFERROR(__xludf.DUMMYFUNCTION("""COMPUTED_VALUE"""),"")</f>
        <v/>
      </c>
      <c r="T4" t="str">
        <f ca="1">IFERROR(__xludf.DUMMYFUNCTION("""COMPUTED_VALUE"""),"")</f>
        <v/>
      </c>
      <c r="U4" t="str">
        <f ca="1">IFERROR(__xludf.DUMMYFUNCTION("""COMPUTED_VALUE"""),"Sprint (drag race) - NeLEGO")</f>
        <v>Sprint (drag race) - NeLEGO</v>
      </c>
      <c r="V4" t="str">
        <f ca="1">IFERROR(__xludf.DUMMYFUNCTION("""COMPUTED_VALUE"""),"")</f>
        <v/>
      </c>
      <c r="W4" t="str">
        <f ca="1">IFERROR(__xludf.DUMMYFUNCTION("""COMPUTED_VALUE"""),"")</f>
        <v/>
      </c>
      <c r="X4" t="str">
        <f ca="1">IFERROR(__xludf.DUMMYFUNCTION("""COMPUTED_VALUE"""),"")</f>
        <v/>
      </c>
      <c r="Y4" t="str">
        <f ca="1">IFERROR(__xludf.DUMMYFUNCTION("""COMPUTED_VALUE"""),"Kategorie/Category")</f>
        <v>Kategorie/Category</v>
      </c>
      <c r="Z4" t="str">
        <f ca="1">IFERROR(__xludf.DUMMYFUNCTION("""COMPUTED_VALUE"""),"Čára")</f>
        <v>Čára</v>
      </c>
      <c r="AA4" t="str">
        <f ca="1">IFERROR(__xludf.DUMMYFUNCTION("""COMPUTED_VALUE"""),"AM")</f>
        <v>AM</v>
      </c>
      <c r="AB4" t="str">
        <f ca="1">IFERROR(__xludf.DUMMYFUNCTION("""COMPUTED_VALUE"""),"DM")</f>
        <v>DM</v>
      </c>
      <c r="AC4" t="str">
        <f ca="1">IFERROR(__xludf.DUMMYFUNCTION("""COMPUTED_VALUE"""),"Sprint LEGO")</f>
        <v>Sprint LEGO</v>
      </c>
      <c r="AD4" t="str">
        <f ca="1">IFERROR(__xludf.DUMMYFUNCTION("""COMPUTED_VALUE"""),"Sprint Ne-LEGO")</f>
        <v>Sprint Ne-LEGO</v>
      </c>
      <c r="AE4" t="str">
        <f ca="1">IFERROR(__xludf.DUMMYFUNCTION("""COMPUTED_VALUE"""),"Freestyle")</f>
        <v>Freestyle</v>
      </c>
      <c r="AF4" t="str">
        <f ca="1">IFERROR(__xludf.DUMMYFUNCTION("""COMPUTED_VALUE"""),"We-Do")</f>
        <v>We-Do</v>
      </c>
      <c r="AG4" t="str">
        <f ca="1">IFERROR(__xludf.DUMMYFUNCTION("""COMPUTED_VALUE"""),"Přihlášené disciplíny/disciplines")</f>
        <v>Přihlášené disciplíny/disciplines</v>
      </c>
    </row>
    <row r="5" spans="1:33" ht="15.75" customHeight="1">
      <c r="A5">
        <f ca="1">IFERROR(__xludf.DUMMYFUNCTION("""COMPUTED_VALUE"""),1)</f>
        <v>1</v>
      </c>
      <c r="B5" t="str">
        <f ca="1">IFERROR(__xludf.DUMMYFUNCTION("""COMPUTED_VALUE"""),"Brno")</f>
        <v>Brno</v>
      </c>
      <c r="C5" t="str">
        <f ca="1">IFERROR(__xludf.DUMMYFUNCTION("""COMPUTED_VALUE"""),"ZŠ Sirotkova Brno")</f>
        <v>ZŠ Sirotkova Brno</v>
      </c>
      <c r="D5" t="str">
        <f ca="1">IFERROR(__xludf.DUMMYFUNCTION("""COMPUTED_VALUE"""),"Sirotci")</f>
        <v>Sirotci</v>
      </c>
      <c r="E5" s="158">
        <f ca="1">IFERROR(__xludf.DUMMYFUNCTION("""COMPUTED_VALUE"""),0.399305555555555)</f>
        <v>0.39930555555555503</v>
      </c>
      <c r="F5" t="str">
        <f ca="1">IFERROR(__xludf.DUMMYFUNCTION("""COMPUTED_VALUE"""),"A")</f>
        <v>A</v>
      </c>
      <c r="G5" s="158">
        <f ca="1">IFERROR(__xludf.DUMMYFUNCTION("""COMPUTED_VALUE"""),0.469444444444444)</f>
        <v>0.469444444444444</v>
      </c>
      <c r="H5" t="str">
        <f ca="1">IFERROR(__xludf.DUMMYFUNCTION("""COMPUTED_VALUE"""),"A")</f>
        <v>A</v>
      </c>
      <c r="I5" s="158">
        <f ca="1">IFERROR(__xludf.DUMMYFUNCTION("""COMPUTED_VALUE"""),0.544444444444444)</f>
        <v>0.54444444444444395</v>
      </c>
      <c r="J5" t="str">
        <f ca="1">IFERROR(__xludf.DUMMYFUNCTION("""COMPUTED_VALUE"""),"A")</f>
        <v>A</v>
      </c>
      <c r="K5" t="str">
        <f ca="1">IFERROR(__xludf.DUMMYFUNCTION("""COMPUTED_VALUE"""),"")</f>
        <v/>
      </c>
      <c r="L5" t="str">
        <f ca="1">IFERROR(__xludf.DUMMYFUNCTION("""COMPUTED_VALUE"""),"")</f>
        <v/>
      </c>
      <c r="M5" t="str">
        <f ca="1">IFERROR(__xludf.DUMMYFUNCTION("""COMPUTED_VALUE"""),"")</f>
        <v/>
      </c>
      <c r="N5" t="str">
        <f ca="1">IFERROR(__xludf.DUMMYFUNCTION("""COMPUTED_VALUE"""),"")</f>
        <v/>
      </c>
      <c r="O5" t="str">
        <f ca="1">IFERROR(__xludf.DUMMYFUNCTION("""COMPUTED_VALUE"""),"")</f>
        <v/>
      </c>
      <c r="P5" t="str">
        <f ca="1">IFERROR(__xludf.DUMMYFUNCTION("""COMPUTED_VALUE"""),"")</f>
        <v/>
      </c>
      <c r="Q5" s="158">
        <f ca="1">IFERROR(__xludf.DUMMYFUNCTION("""COMPUTED_VALUE"""),0.5)</f>
        <v>0.5</v>
      </c>
      <c r="R5" t="str">
        <f ca="1">IFERROR(__xludf.DUMMYFUNCTION("""COMPUTED_VALUE"""),"A")</f>
        <v>A</v>
      </c>
      <c r="S5" s="158">
        <f ca="1">IFERROR(__xludf.DUMMYFUNCTION("""COMPUTED_VALUE"""),0.538194444444444)</f>
        <v>0.53819444444444398</v>
      </c>
      <c r="T5" t="str">
        <f ca="1">IFERROR(__xludf.DUMMYFUNCTION("""COMPUTED_VALUE"""),"A")</f>
        <v>A</v>
      </c>
      <c r="U5" t="str">
        <f ca="1">IFERROR(__xludf.DUMMYFUNCTION("""COMPUTED_VALUE"""),"")</f>
        <v/>
      </c>
      <c r="V5" t="str">
        <f ca="1">IFERROR(__xludf.DUMMYFUNCTION("""COMPUTED_VALUE"""),"")</f>
        <v/>
      </c>
      <c r="W5" t="str">
        <f ca="1">IFERROR(__xludf.DUMMYFUNCTION("""COMPUTED_VALUE"""),"")</f>
        <v/>
      </c>
      <c r="X5" t="str">
        <f ca="1">IFERROR(__xludf.DUMMYFUNCTION("""COMPUTED_VALUE"""),"")</f>
        <v/>
      </c>
      <c r="Y5" t="str">
        <f ca="1">IFERROR(__xludf.DUMMYFUNCTION("""COMPUTED_VALUE"""),"ZŠ")</f>
        <v>ZŠ</v>
      </c>
      <c r="Z5" t="b">
        <f ca="1">IFERROR(__xludf.DUMMYFUNCTION("""COMPUTED_VALUE"""),TRUE)</f>
        <v>1</v>
      </c>
      <c r="AA5" t="b">
        <f ca="1">IFERROR(__xludf.DUMMYFUNCTION("""COMPUTED_VALUE"""),FALSE)</f>
        <v>0</v>
      </c>
      <c r="AB5" t="b">
        <f ca="1">IFERROR(__xludf.DUMMYFUNCTION("""COMPUTED_VALUE"""),FALSE)</f>
        <v>0</v>
      </c>
      <c r="AC5" t="b">
        <f ca="1">IFERROR(__xludf.DUMMYFUNCTION("""COMPUTED_VALUE"""),TRUE)</f>
        <v>1</v>
      </c>
      <c r="AD5" t="b">
        <f ca="1">IFERROR(__xludf.DUMMYFUNCTION("""COMPUTED_VALUE"""),FALSE)</f>
        <v>0</v>
      </c>
      <c r="AE5" t="b">
        <f ca="1">IFERROR(__xludf.DUMMYFUNCTION("""COMPUTED_VALUE"""),FALSE)</f>
        <v>0</v>
      </c>
      <c r="AF5" t="b">
        <f ca="1">IFERROR(__xludf.DUMMYFUNCTION("""COMPUTED_VALUE"""),FALSE)</f>
        <v>0</v>
      </c>
      <c r="AG5" t="str">
        <f ca="1">IFERROR(__xludf.DUMMYFUNCTION("""COMPUTED_VALUE"""),"Čára (line follower), Sprint - LEGO (drag race - Lego)")</f>
        <v>Čára (line follower), Sprint - LEGO (drag race - Lego)</v>
      </c>
    </row>
    <row r="6" spans="1:33" ht="15.75" customHeight="1">
      <c r="A6">
        <f ca="1">IFERROR(__xludf.DUMMYFUNCTION("""COMPUTED_VALUE"""),2)</f>
        <v>2</v>
      </c>
      <c r="B6" t="str">
        <f ca="1">IFERROR(__xludf.DUMMYFUNCTION("""COMPUTED_VALUE"""),"Brno")</f>
        <v>Brno</v>
      </c>
      <c r="C6" t="str">
        <f ca="1">IFERROR(__xludf.DUMMYFUNCTION("""COMPUTED_VALUE"""),"ZŠ Sirotkova Brno")</f>
        <v>ZŠ Sirotkova Brno</v>
      </c>
      <c r="D6" t="str">
        <f ca="1">IFERROR(__xludf.DUMMYFUNCTION("""COMPUTED_VALUE"""),"Sirotci2")</f>
        <v>Sirotci2</v>
      </c>
      <c r="E6" s="158">
        <f ca="1">IFERROR(__xludf.DUMMYFUNCTION("""COMPUTED_VALUE"""),0.399305555555555)</f>
        <v>0.39930555555555503</v>
      </c>
      <c r="F6" t="str">
        <f ca="1">IFERROR(__xludf.DUMMYFUNCTION("""COMPUTED_VALUE"""),"B")</f>
        <v>B</v>
      </c>
      <c r="G6" s="158">
        <f ca="1">IFERROR(__xludf.DUMMYFUNCTION("""COMPUTED_VALUE"""),0.469444444444444)</f>
        <v>0.469444444444444</v>
      </c>
      <c r="H6" t="str">
        <f ca="1">IFERROR(__xludf.DUMMYFUNCTION("""COMPUTED_VALUE"""),"B")</f>
        <v>B</v>
      </c>
      <c r="I6" s="158">
        <f ca="1">IFERROR(__xludf.DUMMYFUNCTION("""COMPUTED_VALUE"""),0.544444444444444)</f>
        <v>0.54444444444444395</v>
      </c>
      <c r="J6" t="str">
        <f ca="1">IFERROR(__xludf.DUMMYFUNCTION("""COMPUTED_VALUE"""),"B")</f>
        <v>B</v>
      </c>
      <c r="K6" t="str">
        <f ca="1">IFERROR(__xludf.DUMMYFUNCTION("""COMPUTED_VALUE"""),"")</f>
        <v/>
      </c>
      <c r="L6" t="str">
        <f ca="1">IFERROR(__xludf.DUMMYFUNCTION("""COMPUTED_VALUE"""),"")</f>
        <v/>
      </c>
      <c r="M6" t="str">
        <f ca="1">IFERROR(__xludf.DUMMYFUNCTION("""COMPUTED_VALUE"""),"")</f>
        <v/>
      </c>
      <c r="N6" t="str">
        <f ca="1">IFERROR(__xludf.DUMMYFUNCTION("""COMPUTED_VALUE"""),"")</f>
        <v/>
      </c>
      <c r="O6" t="str">
        <f ca="1">IFERROR(__xludf.DUMMYFUNCTION("""COMPUTED_VALUE"""),"")</f>
        <v/>
      </c>
      <c r="P6" t="str">
        <f ca="1">IFERROR(__xludf.DUMMYFUNCTION("""COMPUTED_VALUE"""),"")</f>
        <v/>
      </c>
      <c r="Q6" s="158">
        <f ca="1">IFERROR(__xludf.DUMMYFUNCTION("""COMPUTED_VALUE"""),0.5)</f>
        <v>0.5</v>
      </c>
      <c r="R6" t="str">
        <f ca="1">IFERROR(__xludf.DUMMYFUNCTION("""COMPUTED_VALUE"""),"B")</f>
        <v>B</v>
      </c>
      <c r="S6" s="158">
        <f ca="1">IFERROR(__xludf.DUMMYFUNCTION("""COMPUTED_VALUE"""),0.538194444444444)</f>
        <v>0.53819444444444398</v>
      </c>
      <c r="T6" t="str">
        <f ca="1">IFERROR(__xludf.DUMMYFUNCTION("""COMPUTED_VALUE"""),"B")</f>
        <v>B</v>
      </c>
      <c r="U6" t="str">
        <f ca="1">IFERROR(__xludf.DUMMYFUNCTION("""COMPUTED_VALUE"""),"")</f>
        <v/>
      </c>
      <c r="V6" t="str">
        <f ca="1">IFERROR(__xludf.DUMMYFUNCTION("""COMPUTED_VALUE"""),"")</f>
        <v/>
      </c>
      <c r="W6" t="str">
        <f ca="1">IFERROR(__xludf.DUMMYFUNCTION("""COMPUTED_VALUE"""),"")</f>
        <v/>
      </c>
      <c r="X6" t="str">
        <f ca="1">IFERROR(__xludf.DUMMYFUNCTION("""COMPUTED_VALUE"""),"")</f>
        <v/>
      </c>
      <c r="Y6" t="str">
        <f ca="1">IFERROR(__xludf.DUMMYFUNCTION("""COMPUTED_VALUE"""),"ZŠ")</f>
        <v>ZŠ</v>
      </c>
      <c r="Z6" t="b">
        <f ca="1">IFERROR(__xludf.DUMMYFUNCTION("""COMPUTED_VALUE"""),TRUE)</f>
        <v>1</v>
      </c>
      <c r="AA6" t="b">
        <f ca="1">IFERROR(__xludf.DUMMYFUNCTION("""COMPUTED_VALUE"""),FALSE)</f>
        <v>0</v>
      </c>
      <c r="AB6" t="b">
        <f ca="1">IFERROR(__xludf.DUMMYFUNCTION("""COMPUTED_VALUE"""),FALSE)</f>
        <v>0</v>
      </c>
      <c r="AC6" t="b">
        <f ca="1">IFERROR(__xludf.DUMMYFUNCTION("""COMPUTED_VALUE"""),TRUE)</f>
        <v>1</v>
      </c>
      <c r="AD6" t="b">
        <f ca="1">IFERROR(__xludf.DUMMYFUNCTION("""COMPUTED_VALUE"""),FALSE)</f>
        <v>0</v>
      </c>
      <c r="AE6" t="b">
        <f ca="1">IFERROR(__xludf.DUMMYFUNCTION("""COMPUTED_VALUE"""),FALSE)</f>
        <v>0</v>
      </c>
      <c r="AF6" t="b">
        <f ca="1">IFERROR(__xludf.DUMMYFUNCTION("""COMPUTED_VALUE"""),FALSE)</f>
        <v>0</v>
      </c>
      <c r="AG6" t="str">
        <f ca="1">IFERROR(__xludf.DUMMYFUNCTION("""COMPUTED_VALUE"""),"Čára (line follower), Sprint - LEGO (drag race - Lego)")</f>
        <v>Čára (line follower), Sprint - LEGO (drag race - Lego)</v>
      </c>
    </row>
    <row r="7" spans="1:33" ht="15.75" customHeight="1">
      <c r="A7">
        <f ca="1">IFERROR(__xludf.DUMMYFUNCTION("""COMPUTED_VALUE"""),3)</f>
        <v>3</v>
      </c>
      <c r="B7" t="str">
        <f ca="1">IFERROR(__xludf.DUMMYFUNCTION("""COMPUTED_VALUE"""),"Uničov")</f>
        <v>Uničov</v>
      </c>
      <c r="C7" t="str">
        <f ca="1">IFERROR(__xludf.DUMMYFUNCTION("""COMPUTED_VALUE"""),"DDM Uničov")</f>
        <v>DDM Uničov</v>
      </c>
      <c r="D7" t="str">
        <f ca="1">IFERROR(__xludf.DUMMYFUNCTION("""COMPUTED_VALUE"""),"Démáci")</f>
        <v>Démáci</v>
      </c>
      <c r="E7" s="158">
        <f ca="1">IFERROR(__xludf.DUMMYFUNCTION("""COMPUTED_VALUE"""),0.400694444444444)</f>
        <v>0.40069444444444402</v>
      </c>
      <c r="F7" t="str">
        <f ca="1">IFERROR(__xludf.DUMMYFUNCTION("""COMPUTED_VALUE"""),"A")</f>
        <v>A</v>
      </c>
      <c r="G7" s="158">
        <f ca="1">IFERROR(__xludf.DUMMYFUNCTION("""COMPUTED_VALUE"""),0.470833333333333)</f>
        <v>0.47083333333333299</v>
      </c>
      <c r="H7" t="str">
        <f ca="1">IFERROR(__xludf.DUMMYFUNCTION("""COMPUTED_VALUE"""),"A")</f>
        <v>A</v>
      </c>
      <c r="I7" s="158">
        <f ca="1">IFERROR(__xludf.DUMMYFUNCTION("""COMPUTED_VALUE"""),0.545833333333333)</f>
        <v>0.54583333333333295</v>
      </c>
      <c r="J7" t="str">
        <f ca="1">IFERROR(__xludf.DUMMYFUNCTION("""COMPUTED_VALUE"""),"A")</f>
        <v>A</v>
      </c>
      <c r="K7" t="str">
        <f ca="1">IFERROR(__xludf.DUMMYFUNCTION("""COMPUTED_VALUE"""),"")</f>
        <v/>
      </c>
      <c r="L7" t="str">
        <f ca="1">IFERROR(__xludf.DUMMYFUNCTION("""COMPUTED_VALUE"""),"")</f>
        <v/>
      </c>
      <c r="M7" t="str">
        <f ca="1">IFERROR(__xludf.DUMMYFUNCTION("""COMPUTED_VALUE"""),"")</f>
        <v/>
      </c>
      <c r="N7" t="str">
        <f ca="1">IFERROR(__xludf.DUMMYFUNCTION("""COMPUTED_VALUE"""),"")</f>
        <v/>
      </c>
      <c r="O7" t="str">
        <f ca="1">IFERROR(__xludf.DUMMYFUNCTION("""COMPUTED_VALUE"""),"")</f>
        <v/>
      </c>
      <c r="P7" t="str">
        <f ca="1">IFERROR(__xludf.DUMMYFUNCTION("""COMPUTED_VALUE"""),"")</f>
        <v/>
      </c>
      <c r="Q7" t="str">
        <f ca="1">IFERROR(__xludf.DUMMYFUNCTION("""COMPUTED_VALUE"""),"")</f>
        <v/>
      </c>
      <c r="R7" t="str">
        <f ca="1">IFERROR(__xludf.DUMMYFUNCTION("""COMPUTED_VALUE"""),"")</f>
        <v/>
      </c>
      <c r="S7" t="str">
        <f ca="1">IFERROR(__xludf.DUMMYFUNCTION("""COMPUTED_VALUE"""),"")</f>
        <v/>
      </c>
      <c r="T7" t="str">
        <f ca="1">IFERROR(__xludf.DUMMYFUNCTION("""COMPUTED_VALUE"""),"")</f>
        <v/>
      </c>
      <c r="U7" s="158">
        <f ca="1">IFERROR(__xludf.DUMMYFUNCTION("""COMPUTED_VALUE"""),0.53125)</f>
        <v>0.53125</v>
      </c>
      <c r="V7" t="str">
        <f ca="1">IFERROR(__xludf.DUMMYFUNCTION("""COMPUTED_VALUE"""),"A")</f>
        <v>A</v>
      </c>
      <c r="W7" s="158">
        <f ca="1">IFERROR(__xludf.DUMMYFUNCTION("""COMPUTED_VALUE"""),0.569444444444444)</f>
        <v>0.56944444444444398</v>
      </c>
      <c r="X7" t="str">
        <f ca="1">IFERROR(__xludf.DUMMYFUNCTION("""COMPUTED_VALUE"""),"A")</f>
        <v>A</v>
      </c>
      <c r="Y7" t="str">
        <f ca="1">IFERROR(__xludf.DUMMYFUNCTION("""COMPUTED_VALUE"""),"ZŠ")</f>
        <v>ZŠ</v>
      </c>
      <c r="Z7" t="b">
        <f ca="1">IFERROR(__xludf.DUMMYFUNCTION("""COMPUTED_VALUE"""),TRUE)</f>
        <v>1</v>
      </c>
      <c r="AA7" t="b">
        <f ca="1">IFERROR(__xludf.DUMMYFUNCTION("""COMPUTED_VALUE"""),FALSE)</f>
        <v>0</v>
      </c>
      <c r="AB7" t="b">
        <f ca="1">IFERROR(__xludf.DUMMYFUNCTION("""COMPUTED_VALUE"""),FALSE)</f>
        <v>0</v>
      </c>
      <c r="AC7" t="b">
        <f ca="1">IFERROR(__xludf.DUMMYFUNCTION("""COMPUTED_VALUE"""),FALSE)</f>
        <v>0</v>
      </c>
      <c r="AD7" t="b">
        <f ca="1">IFERROR(__xludf.DUMMYFUNCTION("""COMPUTED_VALUE"""),TRUE)</f>
        <v>1</v>
      </c>
      <c r="AE7" t="b">
        <f ca="1">IFERROR(__xludf.DUMMYFUNCTION("""COMPUTED_VALUE"""),FALSE)</f>
        <v>0</v>
      </c>
      <c r="AF7" t="b">
        <f ca="1">IFERROR(__xludf.DUMMYFUNCTION("""COMPUTED_VALUE"""),FALSE)</f>
        <v>0</v>
      </c>
      <c r="AG7" t="str">
        <f ca="1">IFERROR(__xludf.DUMMYFUNCTION("""COMPUTED_VALUE"""),"Čára (line follower), Sprint - LEGO (drag race - Lego)")</f>
        <v>Čára (line follower), Sprint - LEGO (drag race - Lego)</v>
      </c>
    </row>
    <row r="8" spans="1:33" ht="15.75" customHeight="1">
      <c r="A8">
        <f ca="1">IFERROR(__xludf.DUMMYFUNCTION("""COMPUTED_VALUE"""),4)</f>
        <v>4</v>
      </c>
      <c r="B8" t="str">
        <f ca="1">IFERROR(__xludf.DUMMYFUNCTION("""COMPUTED_VALUE"""),"Uničov")</f>
        <v>Uničov</v>
      </c>
      <c r="C8" t="str">
        <f ca="1">IFERROR(__xludf.DUMMYFUNCTION("""COMPUTED_VALUE"""),"KTIV PdF UP Olomouc")</f>
        <v>KTIV PdF UP Olomouc</v>
      </c>
      <c r="D8" t="str">
        <f ca="1">IFERROR(__xludf.DUMMYFUNCTION("""COMPUTED_VALUE"""),"Tulák")</f>
        <v>Tulák</v>
      </c>
      <c r="E8" s="158">
        <f ca="1">IFERROR(__xludf.DUMMYFUNCTION("""COMPUTED_VALUE"""),0.400694444444444)</f>
        <v>0.40069444444444402</v>
      </c>
      <c r="F8" t="str">
        <f ca="1">IFERROR(__xludf.DUMMYFUNCTION("""COMPUTED_VALUE"""),"B")</f>
        <v>B</v>
      </c>
      <c r="G8" s="158">
        <f ca="1">IFERROR(__xludf.DUMMYFUNCTION("""COMPUTED_VALUE"""),0.470833333333333)</f>
        <v>0.47083333333333299</v>
      </c>
      <c r="H8" t="str">
        <f ca="1">IFERROR(__xludf.DUMMYFUNCTION("""COMPUTED_VALUE"""),"B")</f>
        <v>B</v>
      </c>
      <c r="I8" s="158">
        <f ca="1">IFERROR(__xludf.DUMMYFUNCTION("""COMPUTED_VALUE"""),0.545833333333333)</f>
        <v>0.54583333333333295</v>
      </c>
      <c r="J8" t="str">
        <f ca="1">IFERROR(__xludf.DUMMYFUNCTION("""COMPUTED_VALUE"""),"B")</f>
        <v>B</v>
      </c>
      <c r="K8" t="str">
        <f ca="1">IFERROR(__xludf.DUMMYFUNCTION("""COMPUTED_VALUE"""),"")</f>
        <v/>
      </c>
      <c r="L8" t="str">
        <f ca="1">IFERROR(__xludf.DUMMYFUNCTION("""COMPUTED_VALUE"""),"")</f>
        <v/>
      </c>
      <c r="M8" t="str">
        <f ca="1">IFERROR(__xludf.DUMMYFUNCTION("""COMPUTED_VALUE"""),"")</f>
        <v/>
      </c>
      <c r="N8" t="str">
        <f ca="1">IFERROR(__xludf.DUMMYFUNCTION("""COMPUTED_VALUE"""),"")</f>
        <v/>
      </c>
      <c r="O8" t="str">
        <f ca="1">IFERROR(__xludf.DUMMYFUNCTION("""COMPUTED_VALUE"""),"")</f>
        <v/>
      </c>
      <c r="P8" t="str">
        <f ca="1">IFERROR(__xludf.DUMMYFUNCTION("""COMPUTED_VALUE"""),"")</f>
        <v/>
      </c>
      <c r="Q8" t="str">
        <f ca="1">IFERROR(__xludf.DUMMYFUNCTION("""COMPUTED_VALUE"""),"")</f>
        <v/>
      </c>
      <c r="R8" t="str">
        <f ca="1">IFERROR(__xludf.DUMMYFUNCTION("""COMPUTED_VALUE"""),"")</f>
        <v/>
      </c>
      <c r="S8" t="str">
        <f ca="1">IFERROR(__xludf.DUMMYFUNCTION("""COMPUTED_VALUE"""),"")</f>
        <v/>
      </c>
      <c r="T8" t="str">
        <f ca="1">IFERROR(__xludf.DUMMYFUNCTION("""COMPUTED_VALUE"""),"")</f>
        <v/>
      </c>
      <c r="U8" t="str">
        <f ca="1">IFERROR(__xludf.DUMMYFUNCTION("""COMPUTED_VALUE"""),"")</f>
        <v/>
      </c>
      <c r="V8" t="str">
        <f ca="1">IFERROR(__xludf.DUMMYFUNCTION("""COMPUTED_VALUE"""),"")</f>
        <v/>
      </c>
      <c r="W8" t="str">
        <f ca="1">IFERROR(__xludf.DUMMYFUNCTION("""COMPUTED_VALUE"""),"")</f>
        <v/>
      </c>
      <c r="X8" t="str">
        <f ca="1">IFERROR(__xludf.DUMMYFUNCTION("""COMPUTED_VALUE"""),"")</f>
        <v/>
      </c>
      <c r="Y8" t="str">
        <f ca="1">IFERROR(__xludf.DUMMYFUNCTION("""COMPUTED_VALUE"""),"ZŠ")</f>
        <v>ZŠ</v>
      </c>
      <c r="Z8" t="b">
        <f ca="1">IFERROR(__xludf.DUMMYFUNCTION("""COMPUTED_VALUE"""),TRUE)</f>
        <v>1</v>
      </c>
      <c r="AA8" t="b">
        <f ca="1">IFERROR(__xludf.DUMMYFUNCTION("""COMPUTED_VALUE"""),FALSE)</f>
        <v>0</v>
      </c>
      <c r="AB8" t="b">
        <f ca="1">IFERROR(__xludf.DUMMYFUNCTION("""COMPUTED_VALUE"""),FALSE)</f>
        <v>0</v>
      </c>
      <c r="AC8" t="b">
        <f ca="1">IFERROR(__xludf.DUMMYFUNCTION("""COMPUTED_VALUE"""),FALSE)</f>
        <v>0</v>
      </c>
      <c r="AD8" t="b">
        <f ca="1">IFERROR(__xludf.DUMMYFUNCTION("""COMPUTED_VALUE"""),FALSE)</f>
        <v>0</v>
      </c>
      <c r="AE8" t="b">
        <f ca="1">IFERROR(__xludf.DUMMYFUNCTION("""COMPUTED_VALUE"""),FALSE)</f>
        <v>0</v>
      </c>
      <c r="AF8" t="b">
        <f ca="1">IFERROR(__xludf.DUMMYFUNCTION("""COMPUTED_VALUE"""),FALSE)</f>
        <v>0</v>
      </c>
      <c r="AG8" t="str">
        <f ca="1">IFERROR(__xludf.DUMMYFUNCTION("""COMPUTED_VALUE"""),"Čára (line follower), Sprint - NeLEGO (drag race - Lego)")</f>
        <v>Čára (line follower), Sprint - NeLEGO (drag race - Lego)</v>
      </c>
    </row>
    <row r="9" spans="1:33" ht="15.75" customHeight="1">
      <c r="A9">
        <f ca="1">IFERROR(__xludf.DUMMYFUNCTION("""COMPUTED_VALUE"""),5)</f>
        <v>5</v>
      </c>
      <c r="B9" t="str">
        <f ca="1">IFERROR(__xludf.DUMMYFUNCTION("""COMPUTED_VALUE"""),"Uničov")</f>
        <v>Uničov</v>
      </c>
      <c r="C9" t="str">
        <f ca="1">IFERROR(__xludf.DUMMYFUNCTION("""COMPUTED_VALUE"""),"SPŠ a SOU Uničov")</f>
        <v>SPŠ a SOU Uničov</v>
      </c>
      <c r="D9" t="str">
        <f ca="1">IFERROR(__xludf.DUMMYFUNCTION("""COMPUTED_VALUE"""),"Suchoši")</f>
        <v>Suchoši</v>
      </c>
      <c r="E9" s="158">
        <f ca="1">IFERROR(__xludf.DUMMYFUNCTION("""COMPUTED_VALUE"""),0.402083333333333)</f>
        <v>0.40208333333333302</v>
      </c>
      <c r="F9" t="str">
        <f ca="1">IFERROR(__xludf.DUMMYFUNCTION("""COMPUTED_VALUE"""),"A")</f>
        <v>A</v>
      </c>
      <c r="G9" s="158">
        <f ca="1">IFERROR(__xludf.DUMMYFUNCTION("""COMPUTED_VALUE"""),0.472222222222222)</f>
        <v>0.47222222222222199</v>
      </c>
      <c r="H9" t="str">
        <f ca="1">IFERROR(__xludf.DUMMYFUNCTION("""COMPUTED_VALUE"""),"A")</f>
        <v>A</v>
      </c>
      <c r="I9" s="158">
        <f ca="1">IFERROR(__xludf.DUMMYFUNCTION("""COMPUTED_VALUE"""),0.547222222222222)</f>
        <v>0.54722222222222205</v>
      </c>
      <c r="J9" t="str">
        <f ca="1">IFERROR(__xludf.DUMMYFUNCTION("""COMPUTED_VALUE"""),"A")</f>
        <v>A</v>
      </c>
      <c r="K9" t="str">
        <f ca="1">IFERROR(__xludf.DUMMYFUNCTION("""COMPUTED_VALUE"""),"")</f>
        <v/>
      </c>
      <c r="L9" t="str">
        <f ca="1">IFERROR(__xludf.DUMMYFUNCTION("""COMPUTED_VALUE"""),"")</f>
        <v/>
      </c>
      <c r="M9" t="str">
        <f ca="1">IFERROR(__xludf.DUMMYFUNCTION("""COMPUTED_VALUE"""),"")</f>
        <v/>
      </c>
      <c r="N9" t="str">
        <f ca="1">IFERROR(__xludf.DUMMYFUNCTION("""COMPUTED_VALUE"""),"")</f>
        <v/>
      </c>
      <c r="O9" t="str">
        <f ca="1">IFERROR(__xludf.DUMMYFUNCTION("""COMPUTED_VALUE"""),"")</f>
        <v/>
      </c>
      <c r="P9" t="str">
        <f ca="1">IFERROR(__xludf.DUMMYFUNCTION("""COMPUTED_VALUE"""),"")</f>
        <v/>
      </c>
      <c r="Q9" t="str">
        <f ca="1">IFERROR(__xludf.DUMMYFUNCTION("""COMPUTED_VALUE"""),"")</f>
        <v/>
      </c>
      <c r="R9" t="str">
        <f ca="1">IFERROR(__xludf.DUMMYFUNCTION("""COMPUTED_VALUE"""),"")</f>
        <v/>
      </c>
      <c r="S9" t="str">
        <f ca="1">IFERROR(__xludf.DUMMYFUNCTION("""COMPUTED_VALUE"""),"")</f>
        <v/>
      </c>
      <c r="T9" t="str">
        <f ca="1">IFERROR(__xludf.DUMMYFUNCTION("""COMPUTED_VALUE"""),"")</f>
        <v/>
      </c>
      <c r="U9" t="str">
        <f ca="1">IFERROR(__xludf.DUMMYFUNCTION("""COMPUTED_VALUE"""),"")</f>
        <v/>
      </c>
      <c r="V9" t="str">
        <f ca="1">IFERROR(__xludf.DUMMYFUNCTION("""COMPUTED_VALUE"""),"")</f>
        <v/>
      </c>
      <c r="W9" t="str">
        <f ca="1">IFERROR(__xludf.DUMMYFUNCTION("""COMPUTED_VALUE"""),"")</f>
        <v/>
      </c>
      <c r="X9" t="str">
        <f ca="1">IFERROR(__xludf.DUMMYFUNCTION("""COMPUTED_VALUE"""),"")</f>
        <v/>
      </c>
      <c r="Y9" t="str">
        <f ca="1">IFERROR(__xludf.DUMMYFUNCTION("""COMPUTED_VALUE"""),"ZŠ")</f>
        <v>ZŠ</v>
      </c>
      <c r="Z9" t="b">
        <f ca="1">IFERROR(__xludf.DUMMYFUNCTION("""COMPUTED_VALUE"""),TRUE)</f>
        <v>1</v>
      </c>
      <c r="AA9" t="b">
        <f ca="1">IFERROR(__xludf.DUMMYFUNCTION("""COMPUTED_VALUE"""),FALSE)</f>
        <v>0</v>
      </c>
      <c r="AB9" t="b">
        <f ca="1">IFERROR(__xludf.DUMMYFUNCTION("""COMPUTED_VALUE"""),FALSE)</f>
        <v>0</v>
      </c>
      <c r="AC9" t="b">
        <f ca="1">IFERROR(__xludf.DUMMYFUNCTION("""COMPUTED_VALUE"""),FALSE)</f>
        <v>0</v>
      </c>
      <c r="AD9" t="b">
        <f ca="1">IFERROR(__xludf.DUMMYFUNCTION("""COMPUTED_VALUE"""),FALSE)</f>
        <v>0</v>
      </c>
      <c r="AE9" t="b">
        <f ca="1">IFERROR(__xludf.DUMMYFUNCTION("""COMPUTED_VALUE"""),FALSE)</f>
        <v>0</v>
      </c>
      <c r="AF9" t="b">
        <f ca="1">IFERROR(__xludf.DUMMYFUNCTION("""COMPUTED_VALUE"""),FALSE)</f>
        <v>0</v>
      </c>
      <c r="AG9" t="str">
        <f ca="1">IFERROR(__xludf.DUMMYFUNCTION("""COMPUTED_VALUE"""),"Čára (line follower)")</f>
        <v>Čára (line follower)</v>
      </c>
    </row>
    <row r="10" spans="1:33" ht="15.75" customHeight="1">
      <c r="A10">
        <f ca="1">IFERROR(__xludf.DUMMYFUNCTION("""COMPUTED_VALUE"""),6)</f>
        <v>6</v>
      </c>
      <c r="B10" t="str">
        <f ca="1">IFERROR(__xludf.DUMMYFUNCTION("""COMPUTED_VALUE"""),"Olomouc")</f>
        <v>Olomouc</v>
      </c>
      <c r="C10" t="str">
        <f ca="1">IFERROR(__xludf.DUMMYFUNCTION("""COMPUTED_VALUE"""),"KTIV PdF UP Olomouc")</f>
        <v>KTIV PdF UP Olomouc</v>
      </c>
      <c r="D10" t="str">
        <f ca="1">IFERROR(__xludf.DUMMYFUNCTION("""COMPUTED_VALUE"""),"Barborka")</f>
        <v>Barborka</v>
      </c>
      <c r="E10" s="158">
        <f ca="1">IFERROR(__xludf.DUMMYFUNCTION("""COMPUTED_VALUE"""),0.402083333333333)</f>
        <v>0.40208333333333302</v>
      </c>
      <c r="F10" t="str">
        <f ca="1">IFERROR(__xludf.DUMMYFUNCTION("""COMPUTED_VALUE"""),"B")</f>
        <v>B</v>
      </c>
      <c r="G10" s="158">
        <f ca="1">IFERROR(__xludf.DUMMYFUNCTION("""COMPUTED_VALUE"""),0.472222222222222)</f>
        <v>0.47222222222222199</v>
      </c>
      <c r="H10" t="str">
        <f ca="1">IFERROR(__xludf.DUMMYFUNCTION("""COMPUTED_VALUE"""),"B")</f>
        <v>B</v>
      </c>
      <c r="I10" s="158">
        <f ca="1">IFERROR(__xludf.DUMMYFUNCTION("""COMPUTED_VALUE"""),0.547222222222222)</f>
        <v>0.54722222222222205</v>
      </c>
      <c r="J10" t="str">
        <f ca="1">IFERROR(__xludf.DUMMYFUNCTION("""COMPUTED_VALUE"""),"B")</f>
        <v>B</v>
      </c>
      <c r="K10" t="str">
        <f ca="1">IFERROR(__xludf.DUMMYFUNCTION("""COMPUTED_VALUE"""),"")</f>
        <v/>
      </c>
      <c r="L10" t="str">
        <f ca="1">IFERROR(__xludf.DUMMYFUNCTION("""COMPUTED_VALUE"""),"")</f>
        <v/>
      </c>
      <c r="M10" t="str">
        <f ca="1">IFERROR(__xludf.DUMMYFUNCTION("""COMPUTED_VALUE"""),"")</f>
        <v/>
      </c>
      <c r="N10" t="str">
        <f ca="1">IFERROR(__xludf.DUMMYFUNCTION("""COMPUTED_VALUE"""),"")</f>
        <v/>
      </c>
      <c r="O10" t="str">
        <f ca="1">IFERROR(__xludf.DUMMYFUNCTION("""COMPUTED_VALUE"""),"")</f>
        <v/>
      </c>
      <c r="P10" t="str">
        <f ca="1">IFERROR(__xludf.DUMMYFUNCTION("""COMPUTED_VALUE"""),"")</f>
        <v/>
      </c>
      <c r="Q10" t="str">
        <f ca="1">IFERROR(__xludf.DUMMYFUNCTION("""COMPUTED_VALUE"""),"")</f>
        <v/>
      </c>
      <c r="R10" t="str">
        <f ca="1">IFERROR(__xludf.DUMMYFUNCTION("""COMPUTED_VALUE"""),"")</f>
        <v/>
      </c>
      <c r="S10" t="str">
        <f ca="1">IFERROR(__xludf.DUMMYFUNCTION("""COMPUTED_VALUE"""),"")</f>
        <v/>
      </c>
      <c r="T10" t="str">
        <f ca="1">IFERROR(__xludf.DUMMYFUNCTION("""COMPUTED_VALUE"""),"")</f>
        <v/>
      </c>
      <c r="U10" t="str">
        <f ca="1">IFERROR(__xludf.DUMMYFUNCTION("""COMPUTED_VALUE"""),"")</f>
        <v/>
      </c>
      <c r="V10" t="str">
        <f ca="1">IFERROR(__xludf.DUMMYFUNCTION("""COMPUTED_VALUE"""),"")</f>
        <v/>
      </c>
      <c r="W10" t="str">
        <f ca="1">IFERROR(__xludf.DUMMYFUNCTION("""COMPUTED_VALUE"""),"")</f>
        <v/>
      </c>
      <c r="X10" t="str">
        <f ca="1">IFERROR(__xludf.DUMMYFUNCTION("""COMPUTED_VALUE"""),"")</f>
        <v/>
      </c>
      <c r="Y10" t="str">
        <f ca="1">IFERROR(__xludf.DUMMYFUNCTION("""COMPUTED_VALUE"""),"ZŠ")</f>
        <v>ZŠ</v>
      </c>
      <c r="Z10" t="b">
        <f ca="1">IFERROR(__xludf.DUMMYFUNCTION("""COMPUTED_VALUE"""),TRUE)</f>
        <v>1</v>
      </c>
      <c r="AA10" t="b">
        <f ca="1">IFERROR(__xludf.DUMMYFUNCTION("""COMPUTED_VALUE"""),FALSE)</f>
        <v>0</v>
      </c>
      <c r="AB10" t="b">
        <f ca="1">IFERROR(__xludf.DUMMYFUNCTION("""COMPUTED_VALUE"""),FALSE)</f>
        <v>0</v>
      </c>
      <c r="AC10" t="b">
        <f ca="1">IFERROR(__xludf.DUMMYFUNCTION("""COMPUTED_VALUE"""),FALSE)</f>
        <v>0</v>
      </c>
      <c r="AD10" t="b">
        <f ca="1">IFERROR(__xludf.DUMMYFUNCTION("""COMPUTED_VALUE"""),FALSE)</f>
        <v>0</v>
      </c>
      <c r="AE10" t="b">
        <f ca="1">IFERROR(__xludf.DUMMYFUNCTION("""COMPUTED_VALUE"""),FALSE)</f>
        <v>0</v>
      </c>
      <c r="AF10" t="b">
        <f ca="1">IFERROR(__xludf.DUMMYFUNCTION("""COMPUTED_VALUE"""),FALSE)</f>
        <v>0</v>
      </c>
      <c r="AG10" t="str">
        <f ca="1">IFERROR(__xludf.DUMMYFUNCTION("""COMPUTED_VALUE"""),"Čára (line follower)")</f>
        <v>Čára (line follower)</v>
      </c>
    </row>
    <row r="11" spans="1:33" ht="15.75" customHeight="1">
      <c r="A11">
        <f ca="1">IFERROR(__xludf.DUMMYFUNCTION("""COMPUTED_VALUE"""),7)</f>
        <v>7</v>
      </c>
      <c r="B11" t="str">
        <f ca="1">IFERROR(__xludf.DUMMYFUNCTION("""COMPUTED_VALUE"""),"Šlapanice")</f>
        <v>Šlapanice</v>
      </c>
      <c r="C11" t="str">
        <f ca="1">IFERROR(__xludf.DUMMYFUNCTION("""COMPUTED_VALUE"""),"Gymnázium a ZUŠ Šlapanice")</f>
        <v>Gymnázium a ZUŠ Šlapanice</v>
      </c>
      <c r="D11" t="str">
        <f ca="1">IFERROR(__xludf.DUMMYFUNCTION("""COMPUTED_VALUE"""),"PVGŠ")</f>
        <v>PVGŠ</v>
      </c>
      <c r="E11" s="158">
        <f ca="1">IFERROR(__xludf.DUMMYFUNCTION("""COMPUTED_VALUE"""),0.403472222222222)</f>
        <v>0.40347222222222201</v>
      </c>
      <c r="F11" t="str">
        <f ca="1">IFERROR(__xludf.DUMMYFUNCTION("""COMPUTED_VALUE"""),"A")</f>
        <v>A</v>
      </c>
      <c r="G11" s="158">
        <f ca="1">IFERROR(__xludf.DUMMYFUNCTION("""COMPUTED_VALUE"""),0.473611111111111)</f>
        <v>0.47361111111111098</v>
      </c>
      <c r="H11" t="str">
        <f ca="1">IFERROR(__xludf.DUMMYFUNCTION("""COMPUTED_VALUE"""),"A")</f>
        <v>A</v>
      </c>
      <c r="I11" s="158">
        <f ca="1">IFERROR(__xludf.DUMMYFUNCTION("""COMPUTED_VALUE"""),0.548611111111111)</f>
        <v>0.54861111111111105</v>
      </c>
      <c r="J11" t="str">
        <f ca="1">IFERROR(__xludf.DUMMYFUNCTION("""COMPUTED_VALUE"""),"A")</f>
        <v>A</v>
      </c>
      <c r="K11" t="str">
        <f ca="1">IFERROR(__xludf.DUMMYFUNCTION("""COMPUTED_VALUE"""),"")</f>
        <v/>
      </c>
      <c r="L11" t="str">
        <f ca="1">IFERROR(__xludf.DUMMYFUNCTION("""COMPUTED_VALUE"""),"")</f>
        <v/>
      </c>
      <c r="M11" t="str">
        <f ca="1">IFERROR(__xludf.DUMMYFUNCTION("""COMPUTED_VALUE"""),"")</f>
        <v/>
      </c>
      <c r="N11" t="str">
        <f ca="1">IFERROR(__xludf.DUMMYFUNCTION("""COMPUTED_VALUE"""),"")</f>
        <v/>
      </c>
      <c r="O11" t="str">
        <f ca="1">IFERROR(__xludf.DUMMYFUNCTION("""COMPUTED_VALUE"""),"")</f>
        <v/>
      </c>
      <c r="P11" t="str">
        <f ca="1">IFERROR(__xludf.DUMMYFUNCTION("""COMPUTED_VALUE"""),"")</f>
        <v/>
      </c>
      <c r="Q11" t="str">
        <f ca="1">IFERROR(__xludf.DUMMYFUNCTION("""COMPUTED_VALUE"""),"")</f>
        <v/>
      </c>
      <c r="R11" t="str">
        <f ca="1">IFERROR(__xludf.DUMMYFUNCTION("""COMPUTED_VALUE"""),"")</f>
        <v/>
      </c>
      <c r="S11" t="str">
        <f ca="1">IFERROR(__xludf.DUMMYFUNCTION("""COMPUTED_VALUE"""),"")</f>
        <v/>
      </c>
      <c r="T11" t="str">
        <f ca="1">IFERROR(__xludf.DUMMYFUNCTION("""COMPUTED_VALUE"""),"")</f>
        <v/>
      </c>
      <c r="U11" t="str">
        <f ca="1">IFERROR(__xludf.DUMMYFUNCTION("""COMPUTED_VALUE"""),"")</f>
        <v/>
      </c>
      <c r="V11" t="str">
        <f ca="1">IFERROR(__xludf.DUMMYFUNCTION("""COMPUTED_VALUE"""),"")</f>
        <v/>
      </c>
      <c r="W11" t="str">
        <f ca="1">IFERROR(__xludf.DUMMYFUNCTION("""COMPUTED_VALUE"""),"")</f>
        <v/>
      </c>
      <c r="X11" t="str">
        <f ca="1">IFERROR(__xludf.DUMMYFUNCTION("""COMPUTED_VALUE"""),"")</f>
        <v/>
      </c>
      <c r="Y11" t="str">
        <f ca="1">IFERROR(__xludf.DUMMYFUNCTION("""COMPUTED_VALUE"""),"ZŠ")</f>
        <v>ZŠ</v>
      </c>
      <c r="Z11" t="b">
        <f ca="1">IFERROR(__xludf.DUMMYFUNCTION("""COMPUTED_VALUE"""),TRUE)</f>
        <v>1</v>
      </c>
      <c r="AA11" t="b">
        <f ca="1">IFERROR(__xludf.DUMMYFUNCTION("""COMPUTED_VALUE"""),FALSE)</f>
        <v>0</v>
      </c>
      <c r="AB11" t="b">
        <f ca="1">IFERROR(__xludf.DUMMYFUNCTION("""COMPUTED_VALUE"""),FALSE)</f>
        <v>0</v>
      </c>
      <c r="AC11" t="b">
        <f ca="1">IFERROR(__xludf.DUMMYFUNCTION("""COMPUTED_VALUE"""),FALSE)</f>
        <v>0</v>
      </c>
      <c r="AD11" t="b">
        <f ca="1">IFERROR(__xludf.DUMMYFUNCTION("""COMPUTED_VALUE"""),FALSE)</f>
        <v>0</v>
      </c>
      <c r="AE11" t="b">
        <f ca="1">IFERROR(__xludf.DUMMYFUNCTION("""COMPUTED_VALUE"""),FALSE)</f>
        <v>0</v>
      </c>
      <c r="AF11" t="b">
        <f ca="1">IFERROR(__xludf.DUMMYFUNCTION("""COMPUTED_VALUE"""),FALSE)</f>
        <v>0</v>
      </c>
      <c r="AG11" t="str">
        <f ca="1">IFERROR(__xludf.DUMMYFUNCTION("""COMPUTED_VALUE"""),"Čára (line follower)")</f>
        <v>Čára (line follower)</v>
      </c>
    </row>
    <row r="12" spans="1:33" ht="15.75" customHeight="1">
      <c r="A12">
        <f ca="1">IFERROR(__xludf.DUMMYFUNCTION("""COMPUTED_VALUE"""),8)</f>
        <v>8</v>
      </c>
      <c r="B12" t="str">
        <f ca="1">IFERROR(__xludf.DUMMYFUNCTION("""COMPUTED_VALUE"""),"Šlapanice")</f>
        <v>Šlapanice</v>
      </c>
      <c r="C12" t="str">
        <f ca="1">IFERROR(__xludf.DUMMYFUNCTION("""COMPUTED_VALUE"""),"Gymnázium a ZUŠ Šlapanice")</f>
        <v>Gymnázium a ZUŠ Šlapanice</v>
      </c>
      <c r="D12" t="str">
        <f ca="1">IFERROR(__xludf.DUMMYFUNCTION("""COMPUTED_VALUE"""),"BeneFuk")</f>
        <v>BeneFuk</v>
      </c>
      <c r="E12" t="str">
        <f ca="1">IFERROR(__xludf.DUMMYFUNCTION("""COMPUTED_VALUE"""),"---")</f>
        <v>---</v>
      </c>
      <c r="F12" t="str">
        <f ca="1">IFERROR(__xludf.DUMMYFUNCTION("""COMPUTED_VALUE"""),"")</f>
        <v/>
      </c>
      <c r="G12" t="str">
        <f ca="1">IFERROR(__xludf.DUMMYFUNCTION("""COMPUTED_VALUE"""),"---")</f>
        <v>---</v>
      </c>
      <c r="H12" t="str">
        <f ca="1">IFERROR(__xludf.DUMMYFUNCTION("""COMPUTED_VALUE"""),"")</f>
        <v/>
      </c>
      <c r="I12" t="str">
        <f ca="1">IFERROR(__xludf.DUMMYFUNCTION("""COMPUTED_VALUE"""),"---")</f>
        <v>---</v>
      </c>
      <c r="J12" t="str">
        <f ca="1">IFERROR(__xludf.DUMMYFUNCTION("""COMPUTED_VALUE"""),"")</f>
        <v/>
      </c>
      <c r="K12" t="str">
        <f ca="1">IFERROR(__xludf.DUMMYFUNCTION("""COMPUTED_VALUE"""),"")</f>
        <v/>
      </c>
      <c r="L12" t="str">
        <f ca="1">IFERROR(__xludf.DUMMYFUNCTION("""COMPUTED_VALUE"""),"")</f>
        <v/>
      </c>
      <c r="M12" t="str">
        <f ca="1">IFERROR(__xludf.DUMMYFUNCTION("""COMPUTED_VALUE"""),"")</f>
        <v/>
      </c>
      <c r="N12" t="str">
        <f ca="1">IFERROR(__xludf.DUMMYFUNCTION("""COMPUTED_VALUE"""),"")</f>
        <v/>
      </c>
      <c r="O12" t="str">
        <f ca="1">IFERROR(__xludf.DUMMYFUNCTION("""COMPUTED_VALUE"""),"")</f>
        <v/>
      </c>
      <c r="P12" t="str">
        <f ca="1">IFERROR(__xludf.DUMMYFUNCTION("""COMPUTED_VALUE"""),"")</f>
        <v/>
      </c>
      <c r="Q12" s="158">
        <f ca="1">IFERROR(__xludf.DUMMYFUNCTION("""COMPUTED_VALUE"""),0.500694444444444)</f>
        <v>0.500694444444444</v>
      </c>
      <c r="R12" t="str">
        <f ca="1">IFERROR(__xludf.DUMMYFUNCTION("""COMPUTED_VALUE"""),"A")</f>
        <v>A</v>
      </c>
      <c r="S12" s="158">
        <f ca="1">IFERROR(__xludf.DUMMYFUNCTION("""COMPUTED_VALUE"""),0.538888888888888)</f>
        <v>0.53888888888888797</v>
      </c>
      <c r="T12" t="str">
        <f ca="1">IFERROR(__xludf.DUMMYFUNCTION("""COMPUTED_VALUE"""),"A")</f>
        <v>A</v>
      </c>
      <c r="U12" t="str">
        <f ca="1">IFERROR(__xludf.DUMMYFUNCTION("""COMPUTED_VALUE"""),"")</f>
        <v/>
      </c>
      <c r="V12" t="str">
        <f ca="1">IFERROR(__xludf.DUMMYFUNCTION("""COMPUTED_VALUE"""),"")</f>
        <v/>
      </c>
      <c r="W12" t="str">
        <f ca="1">IFERROR(__xludf.DUMMYFUNCTION("""COMPUTED_VALUE"""),"")</f>
        <v/>
      </c>
      <c r="X12" t="str">
        <f ca="1">IFERROR(__xludf.DUMMYFUNCTION("""COMPUTED_VALUE"""),"")</f>
        <v/>
      </c>
      <c r="Y12" t="str">
        <f ca="1">IFERROR(__xludf.DUMMYFUNCTION("""COMPUTED_VALUE"""),"ZŠ")</f>
        <v>ZŠ</v>
      </c>
      <c r="Z12" s="158" t="b">
        <f ca="1">IFERROR(__xludf.DUMMYFUNCTION("""COMPUTED_VALUE"""),FALSE)</f>
        <v>0</v>
      </c>
      <c r="AA12" t="b">
        <f ca="1">IFERROR(__xludf.DUMMYFUNCTION("""COMPUTED_VALUE"""),FALSE)</f>
        <v>0</v>
      </c>
      <c r="AB12" t="b">
        <f ca="1">IFERROR(__xludf.DUMMYFUNCTION("""COMPUTED_VALUE"""),FALSE)</f>
        <v>0</v>
      </c>
      <c r="AC12" t="b">
        <f ca="1">IFERROR(__xludf.DUMMYFUNCTION("""COMPUTED_VALUE"""),TRUE)</f>
        <v>1</v>
      </c>
      <c r="AD12" t="b">
        <f ca="1">IFERROR(__xludf.DUMMYFUNCTION("""COMPUTED_VALUE"""),FALSE)</f>
        <v>0</v>
      </c>
      <c r="AE12" t="b">
        <f ca="1">IFERROR(__xludf.DUMMYFUNCTION("""COMPUTED_VALUE"""),FALSE)</f>
        <v>0</v>
      </c>
      <c r="AF12" t="b">
        <f ca="1">IFERROR(__xludf.DUMMYFUNCTION("""COMPUTED_VALUE"""),FALSE)</f>
        <v>0</v>
      </c>
      <c r="AG12" t="str">
        <f ca="1">IFERROR(__xludf.DUMMYFUNCTION("""COMPUTED_VALUE"""),"Sprint - LEGO (drag race - Lego)")</f>
        <v>Sprint - LEGO (drag race - Lego)</v>
      </c>
    </row>
    <row r="13" spans="1:33" ht="15.75" customHeight="1">
      <c r="A13">
        <f ca="1">IFERROR(__xludf.DUMMYFUNCTION("""COMPUTED_VALUE"""),9)</f>
        <v>9</v>
      </c>
      <c r="B13" t="str">
        <f ca="1">IFERROR(__xludf.DUMMYFUNCTION("""COMPUTED_VALUE"""),"Boskovice")</f>
        <v>Boskovice</v>
      </c>
      <c r="C13" t="str">
        <f ca="1">IFERROR(__xludf.DUMMYFUNCTION("""COMPUTED_VALUE"""),"Gymnázium Boskovice")</f>
        <v>Gymnázium Boskovice</v>
      </c>
      <c r="D13" t="str">
        <f ca="1">IFERROR(__xludf.DUMMYFUNCTION("""COMPUTED_VALUE"""),"RobozBos")</f>
        <v>RobozBos</v>
      </c>
      <c r="E13" t="str">
        <f ca="1">IFERROR(__xludf.DUMMYFUNCTION("""COMPUTED_VALUE"""),"---")</f>
        <v>---</v>
      </c>
      <c r="F13" t="str">
        <f ca="1">IFERROR(__xludf.DUMMYFUNCTION("""COMPUTED_VALUE"""),"")</f>
        <v/>
      </c>
      <c r="G13" t="str">
        <f ca="1">IFERROR(__xludf.DUMMYFUNCTION("""COMPUTED_VALUE"""),"---")</f>
        <v>---</v>
      </c>
      <c r="H13" t="str">
        <f ca="1">IFERROR(__xludf.DUMMYFUNCTION("""COMPUTED_VALUE"""),"")</f>
        <v/>
      </c>
      <c r="I13" t="str">
        <f ca="1">IFERROR(__xludf.DUMMYFUNCTION("""COMPUTED_VALUE"""),"---")</f>
        <v>---</v>
      </c>
      <c r="J13" t="str">
        <f ca="1">IFERROR(__xludf.DUMMYFUNCTION("""COMPUTED_VALUE"""),"")</f>
        <v/>
      </c>
      <c r="K13" t="str">
        <f ca="1">IFERROR(__xludf.DUMMYFUNCTION("""COMPUTED_VALUE"""),"")</f>
        <v/>
      </c>
      <c r="L13" t="str">
        <f ca="1">IFERROR(__xludf.DUMMYFUNCTION("""COMPUTED_VALUE"""),"")</f>
        <v/>
      </c>
      <c r="M13" t="str">
        <f ca="1">IFERROR(__xludf.DUMMYFUNCTION("""COMPUTED_VALUE"""),"")</f>
        <v/>
      </c>
      <c r="N13" t="str">
        <f ca="1">IFERROR(__xludf.DUMMYFUNCTION("""COMPUTED_VALUE"""),"")</f>
        <v/>
      </c>
      <c r="O13" t="str">
        <f ca="1">IFERROR(__xludf.DUMMYFUNCTION("""COMPUTED_VALUE"""),"")</f>
        <v/>
      </c>
      <c r="P13" t="str">
        <f ca="1">IFERROR(__xludf.DUMMYFUNCTION("""COMPUTED_VALUE"""),"")</f>
        <v/>
      </c>
      <c r="Q13" t="str">
        <f ca="1">IFERROR(__xludf.DUMMYFUNCTION("""COMPUTED_VALUE"""),"")</f>
        <v/>
      </c>
      <c r="R13" t="str">
        <f ca="1">IFERROR(__xludf.DUMMYFUNCTION("""COMPUTED_VALUE"""),"")</f>
        <v/>
      </c>
      <c r="S13" t="str">
        <f ca="1">IFERROR(__xludf.DUMMYFUNCTION("""COMPUTED_VALUE"""),"")</f>
        <v/>
      </c>
      <c r="T13" t="str">
        <f ca="1">IFERROR(__xludf.DUMMYFUNCTION("""COMPUTED_VALUE"""),"")</f>
        <v/>
      </c>
      <c r="U13" t="str">
        <f ca="1">IFERROR(__xludf.DUMMYFUNCTION("""COMPUTED_VALUE"""),"")</f>
        <v/>
      </c>
      <c r="V13" t="str">
        <f ca="1">IFERROR(__xludf.DUMMYFUNCTION("""COMPUTED_VALUE"""),"")</f>
        <v/>
      </c>
      <c r="W13" t="str">
        <f ca="1">IFERROR(__xludf.DUMMYFUNCTION("""COMPUTED_VALUE"""),"")</f>
        <v/>
      </c>
      <c r="X13" t="str">
        <f ca="1">IFERROR(__xludf.DUMMYFUNCTION("""COMPUTED_VALUE"""),"")</f>
        <v/>
      </c>
      <c r="Y13" t="str">
        <f ca="1">IFERROR(__xludf.DUMMYFUNCTION("""COMPUTED_VALUE"""),"ZŠ")</f>
        <v>ZŠ</v>
      </c>
      <c r="Z13" s="158" t="b">
        <f ca="1">IFERROR(__xludf.DUMMYFUNCTION("""COMPUTED_VALUE"""),FALSE)</f>
        <v>0</v>
      </c>
      <c r="AA13" t="b">
        <f ca="1">IFERROR(__xludf.DUMMYFUNCTION("""COMPUTED_VALUE"""),FALSE)</f>
        <v>0</v>
      </c>
      <c r="AB13" t="b">
        <f ca="1">IFERROR(__xludf.DUMMYFUNCTION("""COMPUTED_VALUE"""),FALSE)</f>
        <v>0</v>
      </c>
      <c r="AC13" t="b">
        <f ca="1">IFERROR(__xludf.DUMMYFUNCTION("""COMPUTED_VALUE"""),FALSE)</f>
        <v>0</v>
      </c>
      <c r="AD13" t="b">
        <f ca="1">IFERROR(__xludf.DUMMYFUNCTION("""COMPUTED_VALUE"""),FALSE)</f>
        <v>0</v>
      </c>
      <c r="AE13" t="b">
        <f ca="1">IFERROR(__xludf.DUMMYFUNCTION("""COMPUTED_VALUE"""),TRUE)</f>
        <v>1</v>
      </c>
      <c r="AF13" t="b">
        <f ca="1">IFERROR(__xludf.DUMMYFUNCTION("""COMPUTED_VALUE"""),FALSE)</f>
        <v>0</v>
      </c>
      <c r="AG13" t="str">
        <f ca="1">IFERROR(__xludf.DUMMYFUNCTION("""COMPUTED_VALUE"""),"Freestyle")</f>
        <v>Freestyle</v>
      </c>
    </row>
    <row r="14" spans="1:33" ht="15.75" customHeight="1">
      <c r="A14">
        <f ca="1">IFERROR(__xludf.DUMMYFUNCTION("""COMPUTED_VALUE"""),10)</f>
        <v>10</v>
      </c>
      <c r="B14" t="str">
        <f ca="1">IFERROR(__xludf.DUMMYFUNCTION("""COMPUTED_VALUE"""),"Boskovice")</f>
        <v>Boskovice</v>
      </c>
      <c r="C14" t="str">
        <f ca="1">IFERROR(__xludf.DUMMYFUNCTION("""COMPUTED_VALUE"""),"Gymnázium Boskovice")</f>
        <v>Gymnázium Boskovice</v>
      </c>
      <c r="D14" t="str">
        <f ca="1">IFERROR(__xludf.DUMMYFUNCTION("""COMPUTED_VALUE"""),"Gymbos1")</f>
        <v>Gymbos1</v>
      </c>
      <c r="E14" t="str">
        <f ca="1">IFERROR(__xludf.DUMMYFUNCTION("""COMPUTED_VALUE"""),"---")</f>
        <v>---</v>
      </c>
      <c r="F14" t="str">
        <f ca="1">IFERROR(__xludf.DUMMYFUNCTION("""COMPUTED_VALUE"""),"")</f>
        <v/>
      </c>
      <c r="G14" t="str">
        <f ca="1">IFERROR(__xludf.DUMMYFUNCTION("""COMPUTED_VALUE"""),"---")</f>
        <v>---</v>
      </c>
      <c r="H14" t="str">
        <f ca="1">IFERROR(__xludf.DUMMYFUNCTION("""COMPUTED_VALUE"""),"")</f>
        <v/>
      </c>
      <c r="I14" t="str">
        <f ca="1">IFERROR(__xludf.DUMMYFUNCTION("""COMPUTED_VALUE"""),"---")</f>
        <v>---</v>
      </c>
      <c r="J14" t="str">
        <f ca="1">IFERROR(__xludf.DUMMYFUNCTION("""COMPUTED_VALUE"""),"")</f>
        <v/>
      </c>
      <c r="K14" s="158">
        <f ca="1">IFERROR(__xludf.DUMMYFUNCTION("""COMPUTED_VALUE"""),0.430555555555555)</f>
        <v>0.43055555555555503</v>
      </c>
      <c r="L14" t="str">
        <f ca="1">IFERROR(__xludf.DUMMYFUNCTION("""COMPUTED_VALUE"""),"A")</f>
        <v>A</v>
      </c>
      <c r="M14" s="158">
        <f ca="1">IFERROR(__xludf.DUMMYFUNCTION("""COMPUTED_VALUE"""),0.520833333333333)</f>
        <v>0.52083333333333304</v>
      </c>
      <c r="N14" t="str">
        <f ca="1">IFERROR(__xludf.DUMMYFUNCTION("""COMPUTED_VALUE"""),"A")</f>
        <v>A</v>
      </c>
      <c r="O14" t="str">
        <f ca="1">IFERROR(__xludf.DUMMYFUNCTION("""COMPUTED_VALUE"""),"")</f>
        <v/>
      </c>
      <c r="P14" t="str">
        <f ca="1">IFERROR(__xludf.DUMMYFUNCTION("""COMPUTED_VALUE"""),"")</f>
        <v/>
      </c>
      <c r="Q14" t="str">
        <f ca="1">IFERROR(__xludf.DUMMYFUNCTION("""COMPUTED_VALUE"""),"")</f>
        <v/>
      </c>
      <c r="R14" t="str">
        <f ca="1">IFERROR(__xludf.DUMMYFUNCTION("""COMPUTED_VALUE"""),"")</f>
        <v/>
      </c>
      <c r="S14" t="str">
        <f ca="1">IFERROR(__xludf.DUMMYFUNCTION("""COMPUTED_VALUE"""),"")</f>
        <v/>
      </c>
      <c r="T14" t="str">
        <f ca="1">IFERROR(__xludf.DUMMYFUNCTION("""COMPUTED_VALUE"""),"")</f>
        <v/>
      </c>
      <c r="U14" t="str">
        <f ca="1">IFERROR(__xludf.DUMMYFUNCTION("""COMPUTED_VALUE"""),"")</f>
        <v/>
      </c>
      <c r="V14" t="str">
        <f ca="1">IFERROR(__xludf.DUMMYFUNCTION("""COMPUTED_VALUE"""),"")</f>
        <v/>
      </c>
      <c r="W14" t="str">
        <f ca="1">IFERROR(__xludf.DUMMYFUNCTION("""COMPUTED_VALUE"""),"")</f>
        <v/>
      </c>
      <c r="X14" t="str">
        <f ca="1">IFERROR(__xludf.DUMMYFUNCTION("""COMPUTED_VALUE"""),"")</f>
        <v/>
      </c>
      <c r="Y14" t="str">
        <f ca="1">IFERROR(__xludf.DUMMYFUNCTION("""COMPUTED_VALUE"""),"ZŠ")</f>
        <v>ZŠ</v>
      </c>
      <c r="Z14" s="158" t="b">
        <f ca="1">IFERROR(__xludf.DUMMYFUNCTION("""COMPUTED_VALUE"""),FALSE)</f>
        <v>0</v>
      </c>
      <c r="AA14" t="b">
        <f ca="1">IFERROR(__xludf.DUMMYFUNCTION("""COMPUTED_VALUE"""),TRUE)</f>
        <v>1</v>
      </c>
      <c r="AB14" t="b">
        <f ca="1">IFERROR(__xludf.DUMMYFUNCTION("""COMPUTED_VALUE"""),FALSE)</f>
        <v>0</v>
      </c>
      <c r="AC14" t="b">
        <f ca="1">IFERROR(__xludf.DUMMYFUNCTION("""COMPUTED_VALUE"""),FALSE)</f>
        <v>0</v>
      </c>
      <c r="AD14" t="b">
        <f ca="1">IFERROR(__xludf.DUMMYFUNCTION("""COMPUTED_VALUE"""),FALSE)</f>
        <v>0</v>
      </c>
      <c r="AE14" t="b">
        <f ca="1">IFERROR(__xludf.DUMMYFUNCTION("""COMPUTED_VALUE"""),FALSE)</f>
        <v>0</v>
      </c>
      <c r="AF14" t="b">
        <f ca="1">IFERROR(__xludf.DUMMYFUNCTION("""COMPUTED_VALUE"""),FALSE)</f>
        <v>0</v>
      </c>
      <c r="AG14" t="str">
        <f ca="1">IFERROR(__xludf.DUMMYFUNCTION("""COMPUTED_VALUE"""),"Autonomní medvěd (bear rescue advance)")</f>
        <v>Autonomní medvěd (bear rescue advance)</v>
      </c>
    </row>
    <row r="15" spans="1:33" ht="15.75" customHeight="1">
      <c r="A15">
        <f ca="1">IFERROR(__xludf.DUMMYFUNCTION("""COMPUTED_VALUE"""),11)</f>
        <v>11</v>
      </c>
      <c r="B15" t="str">
        <f ca="1">IFERROR(__xludf.DUMMYFUNCTION("""COMPUTED_VALUE"""),"Boskovice")</f>
        <v>Boskovice</v>
      </c>
      <c r="C15" t="str">
        <f ca="1">IFERROR(__xludf.DUMMYFUNCTION("""COMPUTED_VALUE"""),"Gymnázium Boskovice")</f>
        <v>Gymnázium Boskovice</v>
      </c>
      <c r="D15" t="str">
        <f ca="1">IFERROR(__xludf.DUMMYFUNCTION("""COMPUTED_VALUE"""),"Gymbos2")</f>
        <v>Gymbos2</v>
      </c>
      <c r="E15" t="str">
        <f ca="1">IFERROR(__xludf.DUMMYFUNCTION("""COMPUTED_VALUE"""),"---")</f>
        <v>---</v>
      </c>
      <c r="F15" t="str">
        <f ca="1">IFERROR(__xludf.DUMMYFUNCTION("""COMPUTED_VALUE"""),"")</f>
        <v/>
      </c>
      <c r="G15" t="str">
        <f ca="1">IFERROR(__xludf.DUMMYFUNCTION("""COMPUTED_VALUE"""),"---")</f>
        <v>---</v>
      </c>
      <c r="H15" t="str">
        <f ca="1">IFERROR(__xludf.DUMMYFUNCTION("""COMPUTED_VALUE"""),"")</f>
        <v/>
      </c>
      <c r="I15" t="str">
        <f ca="1">IFERROR(__xludf.DUMMYFUNCTION("""COMPUTED_VALUE"""),"---")</f>
        <v>---</v>
      </c>
      <c r="J15" t="str">
        <f ca="1">IFERROR(__xludf.DUMMYFUNCTION("""COMPUTED_VALUE"""),"")</f>
        <v/>
      </c>
      <c r="K15" t="str">
        <f ca="1">IFERROR(__xludf.DUMMYFUNCTION("""COMPUTED_VALUE"""),"")</f>
        <v/>
      </c>
      <c r="L15" t="str">
        <f ca="1">IFERROR(__xludf.DUMMYFUNCTION("""COMPUTED_VALUE"""),"")</f>
        <v/>
      </c>
      <c r="M15" t="str">
        <f ca="1">IFERROR(__xludf.DUMMYFUNCTION("""COMPUTED_VALUE"""),"")</f>
        <v/>
      </c>
      <c r="N15" t="str">
        <f ca="1">IFERROR(__xludf.DUMMYFUNCTION("""COMPUTED_VALUE"""),"")</f>
        <v/>
      </c>
      <c r="O15" t="str">
        <f ca="1">IFERROR(__xludf.DUMMYFUNCTION("""COMPUTED_VALUE"""),"")</f>
        <v/>
      </c>
      <c r="P15" t="str">
        <f ca="1">IFERROR(__xludf.DUMMYFUNCTION("""COMPUTED_VALUE"""),"")</f>
        <v/>
      </c>
      <c r="Q15" s="158">
        <f ca="1">IFERROR(__xludf.DUMMYFUNCTION("""COMPUTED_VALUE"""),0.500694444444444)</f>
        <v>0.500694444444444</v>
      </c>
      <c r="R15" t="str">
        <f ca="1">IFERROR(__xludf.DUMMYFUNCTION("""COMPUTED_VALUE"""),"B")</f>
        <v>B</v>
      </c>
      <c r="S15" s="158">
        <f ca="1">IFERROR(__xludf.DUMMYFUNCTION("""COMPUTED_VALUE"""),0.538888888888888)</f>
        <v>0.53888888888888797</v>
      </c>
      <c r="T15" t="str">
        <f ca="1">IFERROR(__xludf.DUMMYFUNCTION("""COMPUTED_VALUE"""),"B")</f>
        <v>B</v>
      </c>
      <c r="U15" t="str">
        <f ca="1">IFERROR(__xludf.DUMMYFUNCTION("""COMPUTED_VALUE"""),"")</f>
        <v/>
      </c>
      <c r="V15" t="str">
        <f ca="1">IFERROR(__xludf.DUMMYFUNCTION("""COMPUTED_VALUE"""),"")</f>
        <v/>
      </c>
      <c r="W15" t="str">
        <f ca="1">IFERROR(__xludf.DUMMYFUNCTION("""COMPUTED_VALUE"""),"")</f>
        <v/>
      </c>
      <c r="X15" t="str">
        <f ca="1">IFERROR(__xludf.DUMMYFUNCTION("""COMPUTED_VALUE"""),"")</f>
        <v/>
      </c>
      <c r="Y15" t="str">
        <f ca="1">IFERROR(__xludf.DUMMYFUNCTION("""COMPUTED_VALUE"""),"ZŠ")</f>
        <v>ZŠ</v>
      </c>
      <c r="Z15" s="158" t="b">
        <f ca="1">IFERROR(__xludf.DUMMYFUNCTION("""COMPUTED_VALUE"""),FALSE)</f>
        <v>0</v>
      </c>
      <c r="AA15" t="b">
        <f ca="1">IFERROR(__xludf.DUMMYFUNCTION("""COMPUTED_VALUE"""),FALSE)</f>
        <v>0</v>
      </c>
      <c r="AB15" t="b">
        <f ca="1">IFERROR(__xludf.DUMMYFUNCTION("""COMPUTED_VALUE"""),FALSE)</f>
        <v>0</v>
      </c>
      <c r="AC15" t="b">
        <f ca="1">IFERROR(__xludf.DUMMYFUNCTION("""COMPUTED_VALUE"""),TRUE)</f>
        <v>1</v>
      </c>
      <c r="AD15" t="b">
        <f ca="1">IFERROR(__xludf.DUMMYFUNCTION("""COMPUTED_VALUE"""),FALSE)</f>
        <v>0</v>
      </c>
      <c r="AE15" t="b">
        <f ca="1">IFERROR(__xludf.DUMMYFUNCTION("""COMPUTED_VALUE"""),FALSE)</f>
        <v>0</v>
      </c>
      <c r="AF15" t="b">
        <f ca="1">IFERROR(__xludf.DUMMYFUNCTION("""COMPUTED_VALUE"""),FALSE)</f>
        <v>0</v>
      </c>
      <c r="AG15" t="str">
        <f ca="1">IFERROR(__xludf.DUMMYFUNCTION("""COMPUTED_VALUE"""),"Sprint - LEGO (drag race - Lego)")</f>
        <v>Sprint - LEGO (drag race - Lego)</v>
      </c>
    </row>
    <row r="16" spans="1:33" ht="15.75" customHeight="1">
      <c r="A16">
        <f ca="1">IFERROR(__xludf.DUMMYFUNCTION("""COMPUTED_VALUE"""),12)</f>
        <v>12</v>
      </c>
      <c r="B16" t="str">
        <f ca="1">IFERROR(__xludf.DUMMYFUNCTION("""COMPUTED_VALUE"""),"Brno")</f>
        <v>Brno</v>
      </c>
      <c r="C16" t="str">
        <f ca="1">IFERROR(__xludf.DUMMYFUNCTION("""COMPUTED_VALUE"""),"Gymnázium Brno, Vídeňská")</f>
        <v>Gymnázium Brno, Vídeňská</v>
      </c>
      <c r="D16" t="str">
        <f ca="1">IFERROR(__xludf.DUMMYFUNCTION("""COMPUTED_VALUE"""),"Robo orange")</f>
        <v>Robo orange</v>
      </c>
      <c r="E16" s="158">
        <f ca="1">IFERROR(__xludf.DUMMYFUNCTION("""COMPUTED_VALUE"""),0.403472222222222)</f>
        <v>0.40347222222222201</v>
      </c>
      <c r="F16" t="str">
        <f ca="1">IFERROR(__xludf.DUMMYFUNCTION("""COMPUTED_VALUE"""),"B")</f>
        <v>B</v>
      </c>
      <c r="G16" s="158">
        <f ca="1">IFERROR(__xludf.DUMMYFUNCTION("""COMPUTED_VALUE"""),0.473611111111111)</f>
        <v>0.47361111111111098</v>
      </c>
      <c r="H16" t="str">
        <f ca="1">IFERROR(__xludf.DUMMYFUNCTION("""COMPUTED_VALUE"""),"B")</f>
        <v>B</v>
      </c>
      <c r="I16" s="158">
        <f ca="1">IFERROR(__xludf.DUMMYFUNCTION("""COMPUTED_VALUE"""),0.548611111111111)</f>
        <v>0.54861111111111105</v>
      </c>
      <c r="J16" t="str">
        <f ca="1">IFERROR(__xludf.DUMMYFUNCTION("""COMPUTED_VALUE"""),"B")</f>
        <v>B</v>
      </c>
      <c r="K16" t="str">
        <f ca="1">IFERROR(__xludf.DUMMYFUNCTION("""COMPUTED_VALUE"""),"")</f>
        <v/>
      </c>
      <c r="L16" t="str">
        <f ca="1">IFERROR(__xludf.DUMMYFUNCTION("""COMPUTED_VALUE"""),"")</f>
        <v/>
      </c>
      <c r="M16" t="str">
        <f ca="1">IFERROR(__xludf.DUMMYFUNCTION("""COMPUTED_VALUE"""),"")</f>
        <v/>
      </c>
      <c r="N16" t="str">
        <f ca="1">IFERROR(__xludf.DUMMYFUNCTION("""COMPUTED_VALUE"""),"")</f>
        <v/>
      </c>
      <c r="O16" t="str">
        <f ca="1">IFERROR(__xludf.DUMMYFUNCTION("""COMPUTED_VALUE"""),"")</f>
        <v/>
      </c>
      <c r="P16" t="str">
        <f ca="1">IFERROR(__xludf.DUMMYFUNCTION("""COMPUTED_VALUE"""),"")</f>
        <v/>
      </c>
      <c r="Q16" s="158">
        <f ca="1">IFERROR(__xludf.DUMMYFUNCTION("""COMPUTED_VALUE"""),0.501388888888888)</f>
        <v>0.501388888888888</v>
      </c>
      <c r="R16" t="str">
        <f ca="1">IFERROR(__xludf.DUMMYFUNCTION("""COMPUTED_VALUE"""),"A")</f>
        <v>A</v>
      </c>
      <c r="S16" s="158">
        <f ca="1">IFERROR(__xludf.DUMMYFUNCTION("""COMPUTED_VALUE"""),0.539583333333333)</f>
        <v>0.53958333333333297</v>
      </c>
      <c r="T16" t="str">
        <f ca="1">IFERROR(__xludf.DUMMYFUNCTION("""COMPUTED_VALUE"""),"A")</f>
        <v>A</v>
      </c>
      <c r="U16" t="str">
        <f ca="1">IFERROR(__xludf.DUMMYFUNCTION("""COMPUTED_VALUE"""),"")</f>
        <v/>
      </c>
      <c r="V16" t="str">
        <f ca="1">IFERROR(__xludf.DUMMYFUNCTION("""COMPUTED_VALUE"""),"")</f>
        <v/>
      </c>
      <c r="W16" t="str">
        <f ca="1">IFERROR(__xludf.DUMMYFUNCTION("""COMPUTED_VALUE"""),"")</f>
        <v/>
      </c>
      <c r="X16" t="str">
        <f ca="1">IFERROR(__xludf.DUMMYFUNCTION("""COMPUTED_VALUE"""),"")</f>
        <v/>
      </c>
      <c r="Y16" t="str">
        <f ca="1">IFERROR(__xludf.DUMMYFUNCTION("""COMPUTED_VALUE"""),"ZŠ")</f>
        <v>ZŠ</v>
      </c>
      <c r="Z16" t="b">
        <f ca="1">IFERROR(__xludf.DUMMYFUNCTION("""COMPUTED_VALUE"""),TRUE)</f>
        <v>1</v>
      </c>
      <c r="AA16" t="b">
        <f ca="1">IFERROR(__xludf.DUMMYFUNCTION("""COMPUTED_VALUE"""),FALSE)</f>
        <v>0</v>
      </c>
      <c r="AB16" t="b">
        <f ca="1">IFERROR(__xludf.DUMMYFUNCTION("""COMPUTED_VALUE"""),FALSE)</f>
        <v>0</v>
      </c>
      <c r="AC16" t="b">
        <f ca="1">IFERROR(__xludf.DUMMYFUNCTION("""COMPUTED_VALUE"""),TRUE)</f>
        <v>1</v>
      </c>
      <c r="AD16" t="b">
        <f ca="1">IFERROR(__xludf.DUMMYFUNCTION("""COMPUTED_VALUE"""),FALSE)</f>
        <v>0</v>
      </c>
      <c r="AE16" t="b">
        <f ca="1">IFERROR(__xludf.DUMMYFUNCTION("""COMPUTED_VALUE"""),FALSE)</f>
        <v>0</v>
      </c>
      <c r="AF16" t="b">
        <f ca="1">IFERROR(__xludf.DUMMYFUNCTION("""COMPUTED_VALUE"""),FALSE)</f>
        <v>0</v>
      </c>
      <c r="AG16" t="str">
        <f ca="1">IFERROR(__xludf.DUMMYFUNCTION("""COMPUTED_VALUE"""),"Čára (line follower)")</f>
        <v>Čára (line follower)</v>
      </c>
    </row>
    <row r="17" spans="1:33" ht="15.75" customHeight="1">
      <c r="A17">
        <f ca="1">IFERROR(__xludf.DUMMYFUNCTION("""COMPUTED_VALUE"""),13)</f>
        <v>13</v>
      </c>
      <c r="B17" t="str">
        <f ca="1">IFERROR(__xludf.DUMMYFUNCTION("""COMPUTED_VALUE"""),"Brno")</f>
        <v>Brno</v>
      </c>
      <c r="C17" t="str">
        <f ca="1">IFERROR(__xludf.DUMMYFUNCTION("""COMPUTED_VALUE"""),"Gymnázium Brno, Vídeňská")</f>
        <v>Gymnázium Brno, Vídeňská</v>
      </c>
      <c r="D17" t="str">
        <f ca="1">IFERROR(__xludf.DUMMYFUNCTION("""COMPUTED_VALUE"""),"(J)elita z GVID")</f>
        <v>(J)elita z GVID</v>
      </c>
      <c r="E17" t="str">
        <f ca="1">IFERROR(__xludf.DUMMYFUNCTION("""COMPUTED_VALUE"""),"---")</f>
        <v>---</v>
      </c>
      <c r="F17" t="str">
        <f ca="1">IFERROR(__xludf.DUMMYFUNCTION("""COMPUTED_VALUE"""),"")</f>
        <v/>
      </c>
      <c r="G17" t="str">
        <f ca="1">IFERROR(__xludf.DUMMYFUNCTION("""COMPUTED_VALUE"""),"---")</f>
        <v>---</v>
      </c>
      <c r="H17" t="str">
        <f ca="1">IFERROR(__xludf.DUMMYFUNCTION("""COMPUTED_VALUE"""),"")</f>
        <v/>
      </c>
      <c r="I17" t="str">
        <f ca="1">IFERROR(__xludf.DUMMYFUNCTION("""COMPUTED_VALUE"""),"---")</f>
        <v>---</v>
      </c>
      <c r="J17" t="str">
        <f ca="1">IFERROR(__xludf.DUMMYFUNCTION("""COMPUTED_VALUE"""),"")</f>
        <v/>
      </c>
      <c r="K17" t="str">
        <f ca="1">IFERROR(__xludf.DUMMYFUNCTION("""COMPUTED_VALUE"""),"")</f>
        <v/>
      </c>
      <c r="L17" t="str">
        <f ca="1">IFERROR(__xludf.DUMMYFUNCTION("""COMPUTED_VALUE"""),"")</f>
        <v/>
      </c>
      <c r="M17" t="str">
        <f ca="1">IFERROR(__xludf.DUMMYFUNCTION("""COMPUTED_VALUE"""),"")</f>
        <v/>
      </c>
      <c r="N17" t="str">
        <f ca="1">IFERROR(__xludf.DUMMYFUNCTION("""COMPUTED_VALUE"""),"")</f>
        <v/>
      </c>
      <c r="O17" t="str">
        <f ca="1">IFERROR(__xludf.DUMMYFUNCTION("""COMPUTED_VALUE"""),"")</f>
        <v/>
      </c>
      <c r="P17" t="str">
        <f ca="1">IFERROR(__xludf.DUMMYFUNCTION("""COMPUTED_VALUE"""),"")</f>
        <v/>
      </c>
      <c r="Q17" s="158">
        <f ca="1">IFERROR(__xludf.DUMMYFUNCTION("""COMPUTED_VALUE"""),0.501388888888888)</f>
        <v>0.501388888888888</v>
      </c>
      <c r="R17" t="str">
        <f ca="1">IFERROR(__xludf.DUMMYFUNCTION("""COMPUTED_VALUE"""),"B")</f>
        <v>B</v>
      </c>
      <c r="S17" s="158">
        <f ca="1">IFERROR(__xludf.DUMMYFUNCTION("""COMPUTED_VALUE"""),0.539583333333333)</f>
        <v>0.53958333333333297</v>
      </c>
      <c r="T17" t="str">
        <f ca="1">IFERROR(__xludf.DUMMYFUNCTION("""COMPUTED_VALUE"""),"B")</f>
        <v>B</v>
      </c>
      <c r="U17" t="str">
        <f ca="1">IFERROR(__xludf.DUMMYFUNCTION("""COMPUTED_VALUE"""),"")</f>
        <v/>
      </c>
      <c r="V17" t="str">
        <f ca="1">IFERROR(__xludf.DUMMYFUNCTION("""COMPUTED_VALUE"""),"")</f>
        <v/>
      </c>
      <c r="W17" t="str">
        <f ca="1">IFERROR(__xludf.DUMMYFUNCTION("""COMPUTED_VALUE"""),"")</f>
        <v/>
      </c>
      <c r="X17" t="str">
        <f ca="1">IFERROR(__xludf.DUMMYFUNCTION("""COMPUTED_VALUE"""),"")</f>
        <v/>
      </c>
      <c r="Y17" t="str">
        <f ca="1">IFERROR(__xludf.DUMMYFUNCTION("""COMPUTED_VALUE"""),"ZŠ")</f>
        <v>ZŠ</v>
      </c>
      <c r="Z17" s="158" t="b">
        <f ca="1">IFERROR(__xludf.DUMMYFUNCTION("""COMPUTED_VALUE"""),FALSE)</f>
        <v>0</v>
      </c>
      <c r="AA17" t="b">
        <f ca="1">IFERROR(__xludf.DUMMYFUNCTION("""COMPUTED_VALUE"""),FALSE)</f>
        <v>0</v>
      </c>
      <c r="AB17" t="b">
        <f ca="1">IFERROR(__xludf.DUMMYFUNCTION("""COMPUTED_VALUE"""),FALSE)</f>
        <v>0</v>
      </c>
      <c r="AC17" t="b">
        <f ca="1">IFERROR(__xludf.DUMMYFUNCTION("""COMPUTED_VALUE"""),TRUE)</f>
        <v>1</v>
      </c>
      <c r="AD17" t="b">
        <f ca="1">IFERROR(__xludf.DUMMYFUNCTION("""COMPUTED_VALUE"""),FALSE)</f>
        <v>0</v>
      </c>
      <c r="AE17" t="b">
        <f ca="1">IFERROR(__xludf.DUMMYFUNCTION("""COMPUTED_VALUE"""),TRUE)</f>
        <v>1</v>
      </c>
      <c r="AF17" t="b">
        <f ca="1">IFERROR(__xludf.DUMMYFUNCTION("""COMPUTED_VALUE"""),FALSE)</f>
        <v>0</v>
      </c>
      <c r="AG17" t="str">
        <f ca="1">IFERROR(__xludf.DUMMYFUNCTION("""COMPUTED_VALUE"""),"Sprint - LEGO (drag race - Lego), Freestyle")</f>
        <v>Sprint - LEGO (drag race - Lego), Freestyle</v>
      </c>
    </row>
    <row r="18" spans="1:33" ht="15.75" customHeight="1">
      <c r="A18">
        <f ca="1">IFERROR(__xludf.DUMMYFUNCTION("""COMPUTED_VALUE"""),14)</f>
        <v>14</v>
      </c>
      <c r="B18" t="str">
        <f ca="1">IFERROR(__xludf.DUMMYFUNCTION("""COMPUTED_VALUE"""),"Brno")</f>
        <v>Brno</v>
      </c>
      <c r="C18" t="str">
        <f ca="1">IFERROR(__xludf.DUMMYFUNCTION("""COMPUTED_VALUE"""),"Gymnázium Matyáše Lercha Brno")</f>
        <v>Gymnázium Matyáše Lercha Brno</v>
      </c>
      <c r="D18" t="str">
        <f ca="1">IFERROR(__xludf.DUMMYFUNCTION("""COMPUTED_VALUE"""),"NOX")</f>
        <v>NOX</v>
      </c>
      <c r="E18" t="str">
        <f ca="1">IFERROR(__xludf.DUMMYFUNCTION("""COMPUTED_VALUE"""),"---")</f>
        <v>---</v>
      </c>
      <c r="F18" t="str">
        <f ca="1">IFERROR(__xludf.DUMMYFUNCTION("""COMPUTED_VALUE"""),"")</f>
        <v/>
      </c>
      <c r="G18" t="str">
        <f ca="1">IFERROR(__xludf.DUMMYFUNCTION("""COMPUTED_VALUE"""),"---")</f>
        <v>---</v>
      </c>
      <c r="H18" t="str">
        <f ca="1">IFERROR(__xludf.DUMMYFUNCTION("""COMPUTED_VALUE"""),"")</f>
        <v/>
      </c>
      <c r="I18" t="str">
        <f ca="1">IFERROR(__xludf.DUMMYFUNCTION("""COMPUTED_VALUE"""),"---")</f>
        <v>---</v>
      </c>
      <c r="J18" t="str">
        <f ca="1">IFERROR(__xludf.DUMMYFUNCTION("""COMPUTED_VALUE"""),"")</f>
        <v/>
      </c>
      <c r="K18" t="str">
        <f ca="1">IFERROR(__xludf.DUMMYFUNCTION("""COMPUTED_VALUE"""),"")</f>
        <v/>
      </c>
      <c r="L18" t="str">
        <f ca="1">IFERROR(__xludf.DUMMYFUNCTION("""COMPUTED_VALUE"""),"")</f>
        <v/>
      </c>
      <c r="M18" t="str">
        <f ca="1">IFERROR(__xludf.DUMMYFUNCTION("""COMPUTED_VALUE"""),"")</f>
        <v/>
      </c>
      <c r="N18" t="str">
        <f ca="1">IFERROR(__xludf.DUMMYFUNCTION("""COMPUTED_VALUE"""),"")</f>
        <v/>
      </c>
      <c r="O18" t="str">
        <f ca="1">IFERROR(__xludf.DUMMYFUNCTION("""COMPUTED_VALUE"""),"")</f>
        <v/>
      </c>
      <c r="P18" t="str">
        <f ca="1">IFERROR(__xludf.DUMMYFUNCTION("""COMPUTED_VALUE"""),"")</f>
        <v/>
      </c>
      <c r="Q18" s="158">
        <f ca="1">IFERROR(__xludf.DUMMYFUNCTION("""COMPUTED_VALUE"""),0.502083333333333)</f>
        <v>0.50208333333333299</v>
      </c>
      <c r="R18" t="str">
        <f ca="1">IFERROR(__xludf.DUMMYFUNCTION("""COMPUTED_VALUE"""),"A")</f>
        <v>A</v>
      </c>
      <c r="S18" s="158">
        <f ca="1">IFERROR(__xludf.DUMMYFUNCTION("""COMPUTED_VALUE"""),0.540277777777777)</f>
        <v>0.54027777777777697</v>
      </c>
      <c r="T18" t="str">
        <f ca="1">IFERROR(__xludf.DUMMYFUNCTION("""COMPUTED_VALUE"""),"A")</f>
        <v>A</v>
      </c>
      <c r="U18" t="str">
        <f ca="1">IFERROR(__xludf.DUMMYFUNCTION("""COMPUTED_VALUE"""),"")</f>
        <v/>
      </c>
      <c r="V18" t="str">
        <f ca="1">IFERROR(__xludf.DUMMYFUNCTION("""COMPUTED_VALUE"""),"")</f>
        <v/>
      </c>
      <c r="W18" t="str">
        <f ca="1">IFERROR(__xludf.DUMMYFUNCTION("""COMPUTED_VALUE"""),"")</f>
        <v/>
      </c>
      <c r="X18" t="str">
        <f ca="1">IFERROR(__xludf.DUMMYFUNCTION("""COMPUTED_VALUE"""),"")</f>
        <v/>
      </c>
      <c r="Y18" t="str">
        <f ca="1">IFERROR(__xludf.DUMMYFUNCTION("""COMPUTED_VALUE"""),"ZŠ")</f>
        <v>ZŠ</v>
      </c>
      <c r="Z18" s="158" t="b">
        <f ca="1">IFERROR(__xludf.DUMMYFUNCTION("""COMPUTED_VALUE"""),FALSE)</f>
        <v>0</v>
      </c>
      <c r="AA18" t="b">
        <f ca="1">IFERROR(__xludf.DUMMYFUNCTION("""COMPUTED_VALUE"""),FALSE)</f>
        <v>0</v>
      </c>
      <c r="AB18" t="b">
        <f ca="1">IFERROR(__xludf.DUMMYFUNCTION("""COMPUTED_VALUE"""),FALSE)</f>
        <v>0</v>
      </c>
      <c r="AC18" t="b">
        <f ca="1">IFERROR(__xludf.DUMMYFUNCTION("""COMPUTED_VALUE"""),TRUE)</f>
        <v>1</v>
      </c>
      <c r="AD18" t="b">
        <f ca="1">IFERROR(__xludf.DUMMYFUNCTION("""COMPUTED_VALUE"""),FALSE)</f>
        <v>0</v>
      </c>
      <c r="AE18" t="b">
        <f ca="1">IFERROR(__xludf.DUMMYFUNCTION("""COMPUTED_VALUE"""),FALSE)</f>
        <v>0</v>
      </c>
      <c r="AF18" t="b">
        <f ca="1">IFERROR(__xludf.DUMMYFUNCTION("""COMPUTED_VALUE"""),FALSE)</f>
        <v>0</v>
      </c>
      <c r="AG18" t="str">
        <f ca="1">IFERROR(__xludf.DUMMYFUNCTION("""COMPUTED_VALUE"""),"Sprint - LEGO (drag race - Lego)")</f>
        <v>Sprint - LEGO (drag race - Lego)</v>
      </c>
    </row>
    <row r="19" spans="1:33" ht="15.75" customHeight="1">
      <c r="A19">
        <f ca="1">IFERROR(__xludf.DUMMYFUNCTION("""COMPUTED_VALUE"""),15)</f>
        <v>15</v>
      </c>
      <c r="B19" t="str">
        <f ca="1">IFERROR(__xludf.DUMMYFUNCTION("""COMPUTED_VALUE"""),"Brno")</f>
        <v>Brno</v>
      </c>
      <c r="C19" t="str">
        <f ca="1">IFERROR(__xludf.DUMMYFUNCTION("""COMPUTED_VALUE"""),"Kurz stavba a programování robotů Novolíšeňská")</f>
        <v>Kurz stavba a programování robotů Novolíšeňská</v>
      </c>
      <c r="D19" t="str">
        <f ca="1">IFERROR(__xludf.DUMMYFUNCTION("""COMPUTED_VALUE"""),"Big  Brains")</f>
        <v>Big  Brains</v>
      </c>
      <c r="E19" t="str">
        <f ca="1">IFERROR(__xludf.DUMMYFUNCTION("""COMPUTED_VALUE"""),"---")</f>
        <v>---</v>
      </c>
      <c r="F19" t="str">
        <f ca="1">IFERROR(__xludf.DUMMYFUNCTION("""COMPUTED_VALUE"""),"")</f>
        <v/>
      </c>
      <c r="G19" t="str">
        <f ca="1">IFERROR(__xludf.DUMMYFUNCTION("""COMPUTED_VALUE"""),"---")</f>
        <v>---</v>
      </c>
      <c r="H19" t="str">
        <f ca="1">IFERROR(__xludf.DUMMYFUNCTION("""COMPUTED_VALUE"""),"")</f>
        <v/>
      </c>
      <c r="I19" t="str">
        <f ca="1">IFERROR(__xludf.DUMMYFUNCTION("""COMPUTED_VALUE"""),"---")</f>
        <v>---</v>
      </c>
      <c r="J19" t="str">
        <f ca="1">IFERROR(__xludf.DUMMYFUNCTION("""COMPUTED_VALUE"""),"")</f>
        <v/>
      </c>
      <c r="K19" t="str">
        <f ca="1">IFERROR(__xludf.DUMMYFUNCTION("""COMPUTED_VALUE"""),"")</f>
        <v/>
      </c>
      <c r="L19" t="str">
        <f ca="1">IFERROR(__xludf.DUMMYFUNCTION("""COMPUTED_VALUE"""),"")</f>
        <v/>
      </c>
      <c r="M19" t="str">
        <f ca="1">IFERROR(__xludf.DUMMYFUNCTION("""COMPUTED_VALUE"""),"")</f>
        <v/>
      </c>
      <c r="N19" t="str">
        <f ca="1">IFERROR(__xludf.DUMMYFUNCTION("""COMPUTED_VALUE"""),"")</f>
        <v/>
      </c>
      <c r="O19" t="str">
        <f ca="1">IFERROR(__xludf.DUMMYFUNCTION("""COMPUTED_VALUE"""),"")</f>
        <v/>
      </c>
      <c r="P19" t="str">
        <f ca="1">IFERROR(__xludf.DUMMYFUNCTION("""COMPUTED_VALUE"""),"")</f>
        <v/>
      </c>
      <c r="Q19" t="str">
        <f ca="1">IFERROR(__xludf.DUMMYFUNCTION("""COMPUTED_VALUE"""),"")</f>
        <v/>
      </c>
      <c r="R19" t="str">
        <f ca="1">IFERROR(__xludf.DUMMYFUNCTION("""COMPUTED_VALUE"""),"")</f>
        <v/>
      </c>
      <c r="S19" t="str">
        <f ca="1">IFERROR(__xludf.DUMMYFUNCTION("""COMPUTED_VALUE"""),"")</f>
        <v/>
      </c>
      <c r="T19" t="str">
        <f ca="1">IFERROR(__xludf.DUMMYFUNCTION("""COMPUTED_VALUE"""),"")</f>
        <v/>
      </c>
      <c r="U19" s="158">
        <f ca="1">IFERROR(__xludf.DUMMYFUNCTION("""COMPUTED_VALUE"""),0.53125)</f>
        <v>0.53125</v>
      </c>
      <c r="V19" t="str">
        <f ca="1">IFERROR(__xludf.DUMMYFUNCTION("""COMPUTED_VALUE"""),"B")</f>
        <v>B</v>
      </c>
      <c r="W19" s="158">
        <f ca="1">IFERROR(__xludf.DUMMYFUNCTION("""COMPUTED_VALUE"""),0.569444444444444)</f>
        <v>0.56944444444444398</v>
      </c>
      <c r="X19" t="str">
        <f ca="1">IFERROR(__xludf.DUMMYFUNCTION("""COMPUTED_VALUE"""),"B")</f>
        <v>B</v>
      </c>
      <c r="Y19" t="str">
        <f ca="1">IFERROR(__xludf.DUMMYFUNCTION("""COMPUTED_VALUE"""),"ZŠ")</f>
        <v>ZŠ</v>
      </c>
      <c r="Z19" s="158" t="b">
        <f ca="1">IFERROR(__xludf.DUMMYFUNCTION("""COMPUTED_VALUE"""),FALSE)</f>
        <v>0</v>
      </c>
      <c r="AA19" t="b">
        <f ca="1">IFERROR(__xludf.DUMMYFUNCTION("""COMPUTED_VALUE"""),FALSE)</f>
        <v>0</v>
      </c>
      <c r="AB19" t="b">
        <f ca="1">IFERROR(__xludf.DUMMYFUNCTION("""COMPUTED_VALUE"""),FALSE)</f>
        <v>0</v>
      </c>
      <c r="AC19" t="b">
        <f ca="1">IFERROR(__xludf.DUMMYFUNCTION("""COMPUTED_VALUE"""),FALSE)</f>
        <v>0</v>
      </c>
      <c r="AD19" t="b">
        <f ca="1">IFERROR(__xludf.DUMMYFUNCTION("""COMPUTED_VALUE"""),TRUE)</f>
        <v>1</v>
      </c>
      <c r="AE19" t="b">
        <f ca="1">IFERROR(__xludf.DUMMYFUNCTION("""COMPUTED_VALUE"""),FALSE)</f>
        <v>0</v>
      </c>
      <c r="AF19" t="b">
        <f ca="1">IFERROR(__xludf.DUMMYFUNCTION("""COMPUTED_VALUE"""),FALSE)</f>
        <v>0</v>
      </c>
      <c r="AG19" t="str">
        <f ca="1">IFERROR(__xludf.DUMMYFUNCTION("""COMPUTED_VALUE"""),"Sprint - NeLEGOvý (drag race - Non Lego)")</f>
        <v>Sprint - NeLEGOvý (drag race - Non Lego)</v>
      </c>
    </row>
    <row r="20" spans="1:33" ht="15.75" customHeight="1">
      <c r="A20">
        <f ca="1">IFERROR(__xludf.DUMMYFUNCTION("""COMPUTED_VALUE"""),16)</f>
        <v>16</v>
      </c>
      <c r="B20" t="str">
        <f ca="1">IFERROR(__xludf.DUMMYFUNCTION("""COMPUTED_VALUE"""),"Židlochovice")</f>
        <v>Židlochovice</v>
      </c>
      <c r="C20" t="str">
        <f ca="1">IFERROR(__xludf.DUMMYFUNCTION("""COMPUTED_VALUE"""),"Kurz stavby a programování robotů Židlochovice")</f>
        <v>Kurz stavby a programování robotů Židlochovice</v>
      </c>
      <c r="D20" t="str">
        <f ca="1">IFERROR(__xludf.DUMMYFUNCTION("""COMPUTED_VALUE"""),"Small brains")</f>
        <v>Small brains</v>
      </c>
      <c r="E20" t="str">
        <f ca="1">IFERROR(__xludf.DUMMYFUNCTION("""COMPUTED_VALUE"""),"---")</f>
        <v>---</v>
      </c>
      <c r="F20" t="str">
        <f ca="1">IFERROR(__xludf.DUMMYFUNCTION("""COMPUTED_VALUE"""),"")</f>
        <v/>
      </c>
      <c r="G20" t="str">
        <f ca="1">IFERROR(__xludf.DUMMYFUNCTION("""COMPUTED_VALUE"""),"---")</f>
        <v>---</v>
      </c>
      <c r="H20" t="str">
        <f ca="1">IFERROR(__xludf.DUMMYFUNCTION("""COMPUTED_VALUE"""),"")</f>
        <v/>
      </c>
      <c r="I20" t="str">
        <f ca="1">IFERROR(__xludf.DUMMYFUNCTION("""COMPUTED_VALUE"""),"---")</f>
        <v>---</v>
      </c>
      <c r="J20" t="str">
        <f ca="1">IFERROR(__xludf.DUMMYFUNCTION("""COMPUTED_VALUE"""),"")</f>
        <v/>
      </c>
      <c r="K20" t="str">
        <f ca="1">IFERROR(__xludf.DUMMYFUNCTION("""COMPUTED_VALUE"""),"")</f>
        <v/>
      </c>
      <c r="L20" t="str">
        <f ca="1">IFERROR(__xludf.DUMMYFUNCTION("""COMPUTED_VALUE"""),"")</f>
        <v/>
      </c>
      <c r="M20" t="str">
        <f ca="1">IFERROR(__xludf.DUMMYFUNCTION("""COMPUTED_VALUE"""),"")</f>
        <v/>
      </c>
      <c r="N20" t="str">
        <f ca="1">IFERROR(__xludf.DUMMYFUNCTION("""COMPUTED_VALUE"""),"")</f>
        <v/>
      </c>
      <c r="O20" t="str">
        <f ca="1">IFERROR(__xludf.DUMMYFUNCTION("""COMPUTED_VALUE"""),"")</f>
        <v/>
      </c>
      <c r="P20" t="str">
        <f ca="1">IFERROR(__xludf.DUMMYFUNCTION("""COMPUTED_VALUE"""),"")</f>
        <v/>
      </c>
      <c r="Q20" t="str">
        <f ca="1">IFERROR(__xludf.DUMMYFUNCTION("""COMPUTED_VALUE"""),"")</f>
        <v/>
      </c>
      <c r="R20" t="str">
        <f ca="1">IFERROR(__xludf.DUMMYFUNCTION("""COMPUTED_VALUE"""),"")</f>
        <v/>
      </c>
      <c r="S20" t="str">
        <f ca="1">IFERROR(__xludf.DUMMYFUNCTION("""COMPUTED_VALUE"""),"")</f>
        <v/>
      </c>
      <c r="T20" t="str">
        <f ca="1">IFERROR(__xludf.DUMMYFUNCTION("""COMPUTED_VALUE"""),"")</f>
        <v/>
      </c>
      <c r="U20" s="158">
        <f ca="1">IFERROR(__xludf.DUMMYFUNCTION("""COMPUTED_VALUE"""),0.531944444444444)</f>
        <v>0.531944444444444</v>
      </c>
      <c r="V20" t="str">
        <f ca="1">IFERROR(__xludf.DUMMYFUNCTION("""COMPUTED_VALUE"""),"A")</f>
        <v>A</v>
      </c>
      <c r="W20" s="158">
        <f ca="1">IFERROR(__xludf.DUMMYFUNCTION("""COMPUTED_VALUE"""),0.570138888888888)</f>
        <v>0.57013888888888797</v>
      </c>
      <c r="X20" t="str">
        <f ca="1">IFERROR(__xludf.DUMMYFUNCTION("""COMPUTED_VALUE"""),"A")</f>
        <v>A</v>
      </c>
      <c r="Y20" t="str">
        <f ca="1">IFERROR(__xludf.DUMMYFUNCTION("""COMPUTED_VALUE"""),"ZŠ")</f>
        <v>ZŠ</v>
      </c>
      <c r="Z20" s="158" t="b">
        <f ca="1">IFERROR(__xludf.DUMMYFUNCTION("""COMPUTED_VALUE"""),FALSE)</f>
        <v>0</v>
      </c>
      <c r="AA20" t="b">
        <f ca="1">IFERROR(__xludf.DUMMYFUNCTION("""COMPUTED_VALUE"""),FALSE)</f>
        <v>0</v>
      </c>
      <c r="AB20" t="b">
        <f ca="1">IFERROR(__xludf.DUMMYFUNCTION("""COMPUTED_VALUE"""),FALSE)</f>
        <v>0</v>
      </c>
      <c r="AC20" t="b">
        <f ca="1">IFERROR(__xludf.DUMMYFUNCTION("""COMPUTED_VALUE"""),FALSE)</f>
        <v>0</v>
      </c>
      <c r="AD20" t="b">
        <f ca="1">IFERROR(__xludf.DUMMYFUNCTION("""COMPUTED_VALUE"""),TRUE)</f>
        <v>1</v>
      </c>
      <c r="AE20" t="b">
        <f ca="1">IFERROR(__xludf.DUMMYFUNCTION("""COMPUTED_VALUE"""),FALSE)</f>
        <v>0</v>
      </c>
      <c r="AF20" t="b">
        <f ca="1">IFERROR(__xludf.DUMMYFUNCTION("""COMPUTED_VALUE"""),FALSE)</f>
        <v>0</v>
      </c>
      <c r="AG20" t="str">
        <f ca="1">IFERROR(__xludf.DUMMYFUNCTION("""COMPUTED_VALUE"""),"Sprint - NeLEGOvý (drag race - Non Lego)")</f>
        <v>Sprint - NeLEGOvý (drag race - Non Lego)</v>
      </c>
    </row>
    <row r="21" spans="1:33" ht="15.75" customHeight="1">
      <c r="A21">
        <f ca="1">IFERROR(__xludf.DUMMYFUNCTION("""COMPUTED_VALUE"""),18)</f>
        <v>18</v>
      </c>
      <c r="B21" t="str">
        <f ca="1">IFERROR(__xludf.DUMMYFUNCTION("""COMPUTED_VALUE"""),"Židlochovice")</f>
        <v>Židlochovice</v>
      </c>
      <c r="C21" t="str">
        <f ca="1">IFERROR(__xludf.DUMMYFUNCTION("""COMPUTED_VALUE"""),"ZŠ Židlochovice")</f>
        <v>ZŠ Židlochovice</v>
      </c>
      <c r="D21" t="str">
        <f ca="1">IFERROR(__xludf.DUMMYFUNCTION("""COMPUTED_VALUE"""),"Robotika Židlochovice")</f>
        <v>Robotika Židlochovice</v>
      </c>
      <c r="E21" t="str">
        <f ca="1">IFERROR(__xludf.DUMMYFUNCTION("""COMPUTED_VALUE"""),"---")</f>
        <v>---</v>
      </c>
      <c r="F21" t="str">
        <f ca="1">IFERROR(__xludf.DUMMYFUNCTION("""COMPUTED_VALUE"""),"")</f>
        <v/>
      </c>
      <c r="G21" t="str">
        <f ca="1">IFERROR(__xludf.DUMMYFUNCTION("""COMPUTED_VALUE"""),"---")</f>
        <v>---</v>
      </c>
      <c r="H21" t="str">
        <f ca="1">IFERROR(__xludf.DUMMYFUNCTION("""COMPUTED_VALUE"""),"")</f>
        <v/>
      </c>
      <c r="I21" t="str">
        <f ca="1">IFERROR(__xludf.DUMMYFUNCTION("""COMPUTED_VALUE"""),"---")</f>
        <v>---</v>
      </c>
      <c r="J21" t="str">
        <f ca="1">IFERROR(__xludf.DUMMYFUNCTION("""COMPUTED_VALUE"""),"")</f>
        <v/>
      </c>
      <c r="K21" t="str">
        <f ca="1">IFERROR(__xludf.DUMMYFUNCTION("""COMPUTED_VALUE"""),"")</f>
        <v/>
      </c>
      <c r="L21" t="str">
        <f ca="1">IFERROR(__xludf.DUMMYFUNCTION("""COMPUTED_VALUE"""),"")</f>
        <v/>
      </c>
      <c r="M21" t="str">
        <f ca="1">IFERROR(__xludf.DUMMYFUNCTION("""COMPUTED_VALUE"""),"")</f>
        <v/>
      </c>
      <c r="N21" t="str">
        <f ca="1">IFERROR(__xludf.DUMMYFUNCTION("""COMPUTED_VALUE"""),"")</f>
        <v/>
      </c>
      <c r="O21" t="str">
        <f ca="1">IFERROR(__xludf.DUMMYFUNCTION("""COMPUTED_VALUE"""),"")</f>
        <v/>
      </c>
      <c r="P21" t="str">
        <f ca="1">IFERROR(__xludf.DUMMYFUNCTION("""COMPUTED_VALUE"""),"")</f>
        <v/>
      </c>
      <c r="Q21" t="str">
        <f ca="1">IFERROR(__xludf.DUMMYFUNCTION("""COMPUTED_VALUE"""),"")</f>
        <v/>
      </c>
      <c r="R21" t="str">
        <f ca="1">IFERROR(__xludf.DUMMYFUNCTION("""COMPUTED_VALUE"""),"")</f>
        <v/>
      </c>
      <c r="S21" t="str">
        <f ca="1">IFERROR(__xludf.DUMMYFUNCTION("""COMPUTED_VALUE"""),"")</f>
        <v/>
      </c>
      <c r="T21" t="str">
        <f ca="1">IFERROR(__xludf.DUMMYFUNCTION("""COMPUTED_VALUE"""),"")</f>
        <v/>
      </c>
      <c r="U21" s="158">
        <f ca="1">IFERROR(__xludf.DUMMYFUNCTION("""COMPUTED_VALUE"""),0.532638888888888)</f>
        <v>0.532638888888888</v>
      </c>
      <c r="V21" t="str">
        <f ca="1">IFERROR(__xludf.DUMMYFUNCTION("""COMPUTED_VALUE"""),"A")</f>
        <v>A</v>
      </c>
      <c r="W21" s="158">
        <f ca="1">IFERROR(__xludf.DUMMYFUNCTION("""COMPUTED_VALUE"""),0.570833333333333)</f>
        <v>0.57083333333333297</v>
      </c>
      <c r="X21" t="str">
        <f ca="1">IFERROR(__xludf.DUMMYFUNCTION("""COMPUTED_VALUE"""),"A")</f>
        <v>A</v>
      </c>
      <c r="Y21" t="str">
        <f ca="1">IFERROR(__xludf.DUMMYFUNCTION("""COMPUTED_VALUE"""),"ZŠ")</f>
        <v>ZŠ</v>
      </c>
      <c r="Z21" s="158" t="b">
        <f ca="1">IFERROR(__xludf.DUMMYFUNCTION("""COMPUTED_VALUE"""),FALSE)</f>
        <v>0</v>
      </c>
      <c r="AA21" t="b">
        <f ca="1">IFERROR(__xludf.DUMMYFUNCTION("""COMPUTED_VALUE"""),FALSE)</f>
        <v>0</v>
      </c>
      <c r="AB21" t="b">
        <f ca="1">IFERROR(__xludf.DUMMYFUNCTION("""COMPUTED_VALUE"""),FALSE)</f>
        <v>0</v>
      </c>
      <c r="AC21" t="b">
        <f ca="1">IFERROR(__xludf.DUMMYFUNCTION("""COMPUTED_VALUE"""),FALSE)</f>
        <v>0</v>
      </c>
      <c r="AD21" t="b">
        <f ca="1">IFERROR(__xludf.DUMMYFUNCTION("""COMPUTED_VALUE"""),TRUE)</f>
        <v>1</v>
      </c>
      <c r="AE21" t="b">
        <f ca="1">IFERROR(__xludf.DUMMYFUNCTION("""COMPUTED_VALUE"""),FALSE)</f>
        <v>0</v>
      </c>
      <c r="AF21" t="b">
        <f ca="1">IFERROR(__xludf.DUMMYFUNCTION("""COMPUTED_VALUE"""),FALSE)</f>
        <v>0</v>
      </c>
      <c r="AG21" t="str">
        <f ca="1">IFERROR(__xludf.DUMMYFUNCTION("""COMPUTED_VALUE"""),"Sprint - NeLEGOvý (drag race - Non Lego)")</f>
        <v>Sprint - NeLEGOvý (drag race - Non Lego)</v>
      </c>
    </row>
    <row r="22" spans="1:33" ht="15.75" customHeight="1">
      <c r="A22">
        <f ca="1">IFERROR(__xludf.DUMMYFUNCTION("""COMPUTED_VALUE"""),19)</f>
        <v>19</v>
      </c>
      <c r="B22" t="str">
        <f ca="1">IFERROR(__xludf.DUMMYFUNCTION("""COMPUTED_VALUE"""),"Bilohorodka (UA)")</f>
        <v>Bilohorodka (UA)</v>
      </c>
      <c r="C22" t="str">
        <f ca="1">IFERROR(__xludf.DUMMYFUNCTION("""COMPUTED_VALUE"""),"Klub sportovní robotiky ""RoboMaker"" Bilohorodka (UA)")</f>
        <v>Klub sportovní robotiky "RoboMaker" Bilohorodka (UA)</v>
      </c>
      <c r="D22" t="str">
        <f ca="1">IFERROR(__xludf.DUMMYFUNCTION("""COMPUTED_VALUE"""),"ERA")</f>
        <v>ERA</v>
      </c>
      <c r="E22" t="str">
        <f ca="1">IFERROR(__xludf.DUMMYFUNCTION("""COMPUTED_VALUE"""),"---")</f>
        <v>---</v>
      </c>
      <c r="F22" t="str">
        <f ca="1">IFERROR(__xludf.DUMMYFUNCTION("""COMPUTED_VALUE"""),"")</f>
        <v/>
      </c>
      <c r="G22" t="str">
        <f ca="1">IFERROR(__xludf.DUMMYFUNCTION("""COMPUTED_VALUE"""),"---")</f>
        <v>---</v>
      </c>
      <c r="H22" t="str">
        <f ca="1">IFERROR(__xludf.DUMMYFUNCTION("""COMPUTED_VALUE"""),"")</f>
        <v/>
      </c>
      <c r="I22" t="str">
        <f ca="1">IFERROR(__xludf.DUMMYFUNCTION("""COMPUTED_VALUE"""),"---")</f>
        <v>---</v>
      </c>
      <c r="J22" t="str">
        <f ca="1">IFERROR(__xludf.DUMMYFUNCTION("""COMPUTED_VALUE"""),"")</f>
        <v/>
      </c>
      <c r="K22" s="158">
        <f ca="1">IFERROR(__xludf.DUMMYFUNCTION("""COMPUTED_VALUE"""),0.430555555555555)</f>
        <v>0.43055555555555503</v>
      </c>
      <c r="L22" t="str">
        <f ca="1">IFERROR(__xludf.DUMMYFUNCTION("""COMPUTED_VALUE"""),"B")</f>
        <v>B</v>
      </c>
      <c r="M22" s="158">
        <f ca="1">IFERROR(__xludf.DUMMYFUNCTION("""COMPUTED_VALUE"""),0.520833333333333)</f>
        <v>0.52083333333333304</v>
      </c>
      <c r="N22" t="str">
        <f ca="1">IFERROR(__xludf.DUMMYFUNCTION("""COMPUTED_VALUE"""),"B")</f>
        <v>B</v>
      </c>
      <c r="O22" s="158">
        <f ca="1">IFERROR(__xludf.DUMMYFUNCTION("""COMPUTED_VALUE"""),0.479166666666666)</f>
        <v>0.47916666666666602</v>
      </c>
      <c r="P22" t="str">
        <f ca="1">IFERROR(__xludf.DUMMYFUNCTION("""COMPUTED_VALUE"""),"B")</f>
        <v>B</v>
      </c>
      <c r="Q22" s="158">
        <f ca="1">IFERROR(__xludf.DUMMYFUNCTION("""COMPUTED_VALUE"""),0.502083333333333)</f>
        <v>0.50208333333333299</v>
      </c>
      <c r="R22" t="str">
        <f ca="1">IFERROR(__xludf.DUMMYFUNCTION("""COMPUTED_VALUE"""),"B")</f>
        <v>B</v>
      </c>
      <c r="S22" s="158">
        <f ca="1">IFERROR(__xludf.DUMMYFUNCTION("""COMPUTED_VALUE"""),0.540277777777777)</f>
        <v>0.54027777777777697</v>
      </c>
      <c r="T22" t="str">
        <f ca="1">IFERROR(__xludf.DUMMYFUNCTION("""COMPUTED_VALUE"""),"B")</f>
        <v>B</v>
      </c>
      <c r="U22" t="str">
        <f ca="1">IFERROR(__xludf.DUMMYFUNCTION("""COMPUTED_VALUE"""),"")</f>
        <v/>
      </c>
      <c r="V22" t="str">
        <f ca="1">IFERROR(__xludf.DUMMYFUNCTION("""COMPUTED_VALUE"""),"")</f>
        <v/>
      </c>
      <c r="W22" t="str">
        <f ca="1">IFERROR(__xludf.DUMMYFUNCTION("""COMPUTED_VALUE"""),"")</f>
        <v/>
      </c>
      <c r="X22" t="str">
        <f ca="1">IFERROR(__xludf.DUMMYFUNCTION("""COMPUTED_VALUE"""),"")</f>
        <v/>
      </c>
      <c r="Y22" t="str">
        <f ca="1">IFERROR(__xludf.DUMMYFUNCTION("""COMPUTED_VALUE"""),"ZŠ")</f>
        <v>ZŠ</v>
      </c>
      <c r="Z22" s="158" t="b">
        <f ca="1">IFERROR(__xludf.DUMMYFUNCTION("""COMPUTED_VALUE"""),FALSE)</f>
        <v>0</v>
      </c>
      <c r="AA22" t="b">
        <f ca="1">IFERROR(__xludf.DUMMYFUNCTION("""COMPUTED_VALUE"""),TRUE)</f>
        <v>1</v>
      </c>
      <c r="AB22" t="b">
        <f ca="1">IFERROR(__xludf.DUMMYFUNCTION("""COMPUTED_VALUE"""),TRUE)</f>
        <v>1</v>
      </c>
      <c r="AC22" t="b">
        <f ca="1">IFERROR(__xludf.DUMMYFUNCTION("""COMPUTED_VALUE"""),TRUE)</f>
        <v>1</v>
      </c>
      <c r="AD22" t="b">
        <f ca="1">IFERROR(__xludf.DUMMYFUNCTION("""COMPUTED_VALUE"""),FALSE)</f>
        <v>0</v>
      </c>
      <c r="AE22" t="b">
        <f ca="1">IFERROR(__xludf.DUMMYFUNCTION("""COMPUTED_VALUE"""),FALSE)</f>
        <v>0</v>
      </c>
      <c r="AF22" t="b">
        <f ca="1">IFERROR(__xludf.DUMMYFUNCTION("""COMPUTED_VALUE"""),FALSE)</f>
        <v>0</v>
      </c>
      <c r="AG22" t="str">
        <f ca="1">IFERROR(__xludf.DUMMYFUNCTION("""COMPUTED_VALUE"""),"Dálkový medvěd (bear rescue), Autonomní medvěd (bear rescue advance), Sprint - LEGO (drag race - Lego)")</f>
        <v>Dálkový medvěd (bear rescue), Autonomní medvěd (bear rescue advance), Sprint - LEGO (drag race - Lego)</v>
      </c>
    </row>
    <row r="23" spans="1:33" ht="15.75" customHeight="1">
      <c r="A23">
        <f ca="1">IFERROR(__xludf.DUMMYFUNCTION("""COMPUTED_VALUE"""),20)</f>
        <v>20</v>
      </c>
      <c r="B23" t="str">
        <f ca="1">IFERROR(__xludf.DUMMYFUNCTION("""COMPUTED_VALUE"""),"Kyjev (UA)")</f>
        <v>Kyjev (UA)</v>
      </c>
      <c r="C23" t="str">
        <f ca="1">IFERROR(__xludf.DUMMYFUNCTION("""COMPUTED_VALUE"""),"Klub sportovní robotiky ""RoboMaker"" Kyjev (UA)")</f>
        <v>Klub sportovní robotiky "RoboMaker" Kyjev (UA)</v>
      </c>
      <c r="D23" s="165" t="str">
        <f ca="1">IFERROR(__xludf.DUMMYFUNCTION("""COMPUTED_VALUE"""),"RoboMaker.com.UA")</f>
        <v>RoboMaker.com.UA</v>
      </c>
      <c r="E23" s="158">
        <f ca="1">IFERROR(__xludf.DUMMYFUNCTION("""COMPUTED_VALUE"""),0.404861111111111)</f>
        <v>0.40486111111111101</v>
      </c>
      <c r="F23" t="str">
        <f ca="1">IFERROR(__xludf.DUMMYFUNCTION("""COMPUTED_VALUE"""),"A")</f>
        <v>A</v>
      </c>
      <c r="G23" s="158">
        <f ca="1">IFERROR(__xludf.DUMMYFUNCTION("""COMPUTED_VALUE"""),0.475)</f>
        <v>0.47499999999999998</v>
      </c>
      <c r="H23" t="str">
        <f ca="1">IFERROR(__xludf.DUMMYFUNCTION("""COMPUTED_VALUE"""),"A")</f>
        <v>A</v>
      </c>
      <c r="I23" s="158">
        <f ca="1">IFERROR(__xludf.DUMMYFUNCTION("""COMPUTED_VALUE"""),0.55)</f>
        <v>0.55000000000000004</v>
      </c>
      <c r="J23" t="str">
        <f ca="1">IFERROR(__xludf.DUMMYFUNCTION("""COMPUTED_VALUE"""),"A")</f>
        <v>A</v>
      </c>
      <c r="K23" s="158">
        <f ca="1">IFERROR(__xludf.DUMMYFUNCTION("""COMPUTED_VALUE"""),0.432638888888888)</f>
        <v>0.43263888888888802</v>
      </c>
      <c r="L23" t="str">
        <f ca="1">IFERROR(__xludf.DUMMYFUNCTION("""COMPUTED_VALUE"""),"A")</f>
        <v>A</v>
      </c>
      <c r="M23" s="158">
        <f ca="1">IFERROR(__xludf.DUMMYFUNCTION("""COMPUTED_VALUE"""),0.522916666666666)</f>
        <v>0.52291666666666603</v>
      </c>
      <c r="N23" t="str">
        <f ca="1">IFERROR(__xludf.DUMMYFUNCTION("""COMPUTED_VALUE"""),"A")</f>
        <v>A</v>
      </c>
      <c r="O23" t="str">
        <f ca="1">IFERROR(__xludf.DUMMYFUNCTION("""COMPUTED_VALUE"""),"")</f>
        <v/>
      </c>
      <c r="P23" t="str">
        <f ca="1">IFERROR(__xludf.DUMMYFUNCTION("""COMPUTED_VALUE"""),"")</f>
        <v/>
      </c>
      <c r="Q23" s="158">
        <f ca="1">IFERROR(__xludf.DUMMYFUNCTION("""COMPUTED_VALUE"""),0.502777777777777)</f>
        <v>0.50277777777777699</v>
      </c>
      <c r="R23" t="str">
        <f ca="1">IFERROR(__xludf.DUMMYFUNCTION("""COMPUTED_VALUE"""),"A")</f>
        <v>A</v>
      </c>
      <c r="S23" s="158">
        <f ca="1">IFERROR(__xludf.DUMMYFUNCTION("""COMPUTED_VALUE"""),0.540972222222222)</f>
        <v>0.54097222222222197</v>
      </c>
      <c r="T23" t="str">
        <f ca="1">IFERROR(__xludf.DUMMYFUNCTION("""COMPUTED_VALUE"""),"A")</f>
        <v>A</v>
      </c>
      <c r="U23" t="str">
        <f ca="1">IFERROR(__xludf.DUMMYFUNCTION("""COMPUTED_VALUE"""),"")</f>
        <v/>
      </c>
      <c r="V23" t="str">
        <f ca="1">IFERROR(__xludf.DUMMYFUNCTION("""COMPUTED_VALUE"""),"")</f>
        <v/>
      </c>
      <c r="W23" t="str">
        <f ca="1">IFERROR(__xludf.DUMMYFUNCTION("""COMPUTED_VALUE"""),"")</f>
        <v/>
      </c>
      <c r="X23" t="str">
        <f ca="1">IFERROR(__xludf.DUMMYFUNCTION("""COMPUTED_VALUE"""),"")</f>
        <v/>
      </c>
      <c r="Y23" t="str">
        <f ca="1">IFERROR(__xludf.DUMMYFUNCTION("""COMPUTED_VALUE"""),"ZŠ")</f>
        <v>ZŠ</v>
      </c>
      <c r="Z23" t="b">
        <f ca="1">IFERROR(__xludf.DUMMYFUNCTION("""COMPUTED_VALUE"""),TRUE)</f>
        <v>1</v>
      </c>
      <c r="AA23" t="b">
        <f ca="1">IFERROR(__xludf.DUMMYFUNCTION("""COMPUTED_VALUE"""),TRUE)</f>
        <v>1</v>
      </c>
      <c r="AB23" t="b">
        <f ca="1">IFERROR(__xludf.DUMMYFUNCTION("""COMPUTED_VALUE"""),FALSE)</f>
        <v>0</v>
      </c>
      <c r="AC23" t="b">
        <f ca="1">IFERROR(__xludf.DUMMYFUNCTION("""COMPUTED_VALUE"""),TRUE)</f>
        <v>1</v>
      </c>
      <c r="AD23" t="b">
        <f ca="1">IFERROR(__xludf.DUMMYFUNCTION("""COMPUTED_VALUE"""),FALSE)</f>
        <v>0</v>
      </c>
      <c r="AE23" t="b">
        <f ca="1">IFERROR(__xludf.DUMMYFUNCTION("""COMPUTED_VALUE"""),FALSE)</f>
        <v>0</v>
      </c>
      <c r="AF23" t="b">
        <f ca="1">IFERROR(__xludf.DUMMYFUNCTION("""COMPUTED_VALUE"""),FALSE)</f>
        <v>0</v>
      </c>
      <c r="AG23" t="str">
        <f ca="1">IFERROR(__xludf.DUMMYFUNCTION("""COMPUTED_VALUE"""),"Čára (line follower), Autonomní medvěd (bear rescue advance), Sprint - LEGO (drag race - Lego)")</f>
        <v>Čára (line follower), Autonomní medvěd (bear rescue advance), Sprint - LEGO (drag race - Lego)</v>
      </c>
    </row>
    <row r="24" spans="1:33" ht="15.75" customHeight="1">
      <c r="A24">
        <f ca="1">IFERROR(__xludf.DUMMYFUNCTION("""COMPUTED_VALUE"""),21)</f>
        <v>21</v>
      </c>
      <c r="B24" t="str">
        <f ca="1">IFERROR(__xludf.DUMMYFUNCTION("""COMPUTED_VALUE"""),"Kyjev (UA)")</f>
        <v>Kyjev (UA)</v>
      </c>
      <c r="C24" t="str">
        <f ca="1">IFERROR(__xludf.DUMMYFUNCTION("""COMPUTED_VALUE"""),"Klub sportovní robotiky ""RoboMaker"" Kyjev (UA)")</f>
        <v>Klub sportovní robotiky "RoboMaker" Kyjev (UA)</v>
      </c>
      <c r="D24" t="str">
        <f ca="1">IFERROR(__xludf.DUMMYFUNCTION("""COMPUTED_VALUE"""),"Crystal Cat")</f>
        <v>Crystal Cat</v>
      </c>
      <c r="E24" t="str">
        <f ca="1">IFERROR(__xludf.DUMMYFUNCTION("""COMPUTED_VALUE"""),"---")</f>
        <v>---</v>
      </c>
      <c r="F24" t="str">
        <f ca="1">IFERROR(__xludf.DUMMYFUNCTION("""COMPUTED_VALUE"""),"")</f>
        <v/>
      </c>
      <c r="G24" s="158" t="str">
        <f ca="1">IFERROR(__xludf.DUMMYFUNCTION("""COMPUTED_VALUE"""),"---")</f>
        <v>---</v>
      </c>
      <c r="H24" t="str">
        <f ca="1">IFERROR(__xludf.DUMMYFUNCTION("""COMPUTED_VALUE"""),"")</f>
        <v/>
      </c>
      <c r="I24" s="158" t="str">
        <f ca="1">IFERROR(__xludf.DUMMYFUNCTION("""COMPUTED_VALUE"""),"---")</f>
        <v>---</v>
      </c>
      <c r="J24" t="str">
        <f ca="1">IFERROR(__xludf.DUMMYFUNCTION("""COMPUTED_VALUE"""),"")</f>
        <v/>
      </c>
      <c r="K24" s="158">
        <f ca="1">IFERROR(__xludf.DUMMYFUNCTION("""COMPUTED_VALUE"""),0.432638888888888)</f>
        <v>0.43263888888888802</v>
      </c>
      <c r="L24" t="str">
        <f ca="1">IFERROR(__xludf.DUMMYFUNCTION("""COMPUTED_VALUE"""),"B")</f>
        <v>B</v>
      </c>
      <c r="M24" s="158">
        <f ca="1">IFERROR(__xludf.DUMMYFUNCTION("""COMPUTED_VALUE"""),0.522916666666666)</f>
        <v>0.52291666666666603</v>
      </c>
      <c r="N24" t="str">
        <f ca="1">IFERROR(__xludf.DUMMYFUNCTION("""COMPUTED_VALUE"""),"B")</f>
        <v>B</v>
      </c>
      <c r="O24" s="158">
        <f ca="1">IFERROR(__xludf.DUMMYFUNCTION("""COMPUTED_VALUE"""),0.480555555555555)</f>
        <v>0.48055555555555501</v>
      </c>
      <c r="P24" t="str">
        <f ca="1">IFERROR(__xludf.DUMMYFUNCTION("""COMPUTED_VALUE"""),"A")</f>
        <v>A</v>
      </c>
      <c r="Q24" s="158">
        <f ca="1">IFERROR(__xludf.DUMMYFUNCTION("""COMPUTED_VALUE"""),0.502777777777777)</f>
        <v>0.50277777777777699</v>
      </c>
      <c r="R24" t="str">
        <f ca="1">IFERROR(__xludf.DUMMYFUNCTION("""COMPUTED_VALUE"""),"B")</f>
        <v>B</v>
      </c>
      <c r="S24" s="158">
        <f ca="1">IFERROR(__xludf.DUMMYFUNCTION("""COMPUTED_VALUE"""),0.540972222222222)</f>
        <v>0.54097222222222197</v>
      </c>
      <c r="T24" t="str">
        <f ca="1">IFERROR(__xludf.DUMMYFUNCTION("""COMPUTED_VALUE"""),"B")</f>
        <v>B</v>
      </c>
      <c r="U24" t="str">
        <f ca="1">IFERROR(__xludf.DUMMYFUNCTION("""COMPUTED_VALUE"""),"")</f>
        <v/>
      </c>
      <c r="V24" t="str">
        <f ca="1">IFERROR(__xludf.DUMMYFUNCTION("""COMPUTED_VALUE"""),"")</f>
        <v/>
      </c>
      <c r="W24" t="str">
        <f ca="1">IFERROR(__xludf.DUMMYFUNCTION("""COMPUTED_VALUE"""),"")</f>
        <v/>
      </c>
      <c r="X24" t="str">
        <f ca="1">IFERROR(__xludf.DUMMYFUNCTION("""COMPUTED_VALUE"""),"")</f>
        <v/>
      </c>
      <c r="Y24" t="str">
        <f ca="1">IFERROR(__xludf.DUMMYFUNCTION("""COMPUTED_VALUE"""),"ZŠ")</f>
        <v>ZŠ</v>
      </c>
      <c r="Z24" s="158" t="b">
        <f ca="1">IFERROR(__xludf.DUMMYFUNCTION("""COMPUTED_VALUE"""),FALSE)</f>
        <v>0</v>
      </c>
      <c r="AA24" t="b">
        <f ca="1">IFERROR(__xludf.DUMMYFUNCTION("""COMPUTED_VALUE"""),TRUE)</f>
        <v>1</v>
      </c>
      <c r="AB24" t="b">
        <f ca="1">IFERROR(__xludf.DUMMYFUNCTION("""COMPUTED_VALUE"""),TRUE)</f>
        <v>1</v>
      </c>
      <c r="AC24" t="b">
        <f ca="1">IFERROR(__xludf.DUMMYFUNCTION("""COMPUTED_VALUE"""),TRUE)</f>
        <v>1</v>
      </c>
      <c r="AD24" t="b">
        <f ca="1">IFERROR(__xludf.DUMMYFUNCTION("""COMPUTED_VALUE"""),FALSE)</f>
        <v>0</v>
      </c>
      <c r="AE24" t="b">
        <f ca="1">IFERROR(__xludf.DUMMYFUNCTION("""COMPUTED_VALUE"""),FALSE)</f>
        <v>0</v>
      </c>
      <c r="AF24" t="b">
        <f ca="1">IFERROR(__xludf.DUMMYFUNCTION("""COMPUTED_VALUE"""),FALSE)</f>
        <v>0</v>
      </c>
      <c r="AG24" t="str">
        <f ca="1">IFERROR(__xludf.DUMMYFUNCTION("""COMPUTED_VALUE"""),"Dálkový medvěd (bear rescue), Autonomní medvěd (bear rescue advance), Sprint - LEGO (drag race - Lego)")</f>
        <v>Dálkový medvěd (bear rescue), Autonomní medvěd (bear rescue advance), Sprint - LEGO (drag race - Lego)</v>
      </c>
    </row>
    <row r="25" spans="1:33" ht="15.75" customHeight="1">
      <c r="A25">
        <f ca="1">IFERROR(__xludf.DUMMYFUNCTION("""COMPUTED_VALUE"""),22)</f>
        <v>22</v>
      </c>
      <c r="B25" t="str">
        <f ca="1">IFERROR(__xludf.DUMMYFUNCTION("""COMPUTED_VALUE"""),"Cherkasy (UA)")</f>
        <v>Cherkasy (UA)</v>
      </c>
      <c r="C25" t="str">
        <f ca="1">IFERROR(__xludf.DUMMYFUNCTION("""COMPUTED_VALUE"""),"Lucenkovo Čerkaské gymnázium №9 (UA)")</f>
        <v>Lucenkovo Čerkaské gymnázium №9 (UA)</v>
      </c>
      <c r="D25" t="str">
        <f ca="1">IFERROR(__xludf.DUMMYFUNCTION("""COMPUTED_VALUE"""),"Kiborgs")</f>
        <v>Kiborgs</v>
      </c>
      <c r="E25" s="158">
        <f ca="1">IFERROR(__xludf.DUMMYFUNCTION("""COMPUTED_VALUE"""),0.404861111111111)</f>
        <v>0.40486111111111101</v>
      </c>
      <c r="F25" t="str">
        <f ca="1">IFERROR(__xludf.DUMMYFUNCTION("""COMPUTED_VALUE"""),"B")</f>
        <v>B</v>
      </c>
      <c r="G25" s="158">
        <f ca="1">IFERROR(__xludf.DUMMYFUNCTION("""COMPUTED_VALUE"""),0.475)</f>
        <v>0.47499999999999998</v>
      </c>
      <c r="H25" t="str">
        <f ca="1">IFERROR(__xludf.DUMMYFUNCTION("""COMPUTED_VALUE"""),"B")</f>
        <v>B</v>
      </c>
      <c r="I25" s="158">
        <f ca="1">IFERROR(__xludf.DUMMYFUNCTION("""COMPUTED_VALUE"""),0.55)</f>
        <v>0.55000000000000004</v>
      </c>
      <c r="J25" t="str">
        <f ca="1">IFERROR(__xludf.DUMMYFUNCTION("""COMPUTED_VALUE"""),"B")</f>
        <v>B</v>
      </c>
      <c r="K25" t="str">
        <f ca="1">IFERROR(__xludf.DUMMYFUNCTION("""COMPUTED_VALUE"""),"")</f>
        <v/>
      </c>
      <c r="L25" t="str">
        <f ca="1">IFERROR(__xludf.DUMMYFUNCTION("""COMPUTED_VALUE"""),"")</f>
        <v/>
      </c>
      <c r="M25" t="str">
        <f ca="1">IFERROR(__xludf.DUMMYFUNCTION("""COMPUTED_VALUE"""),"")</f>
        <v/>
      </c>
      <c r="N25" t="str">
        <f ca="1">IFERROR(__xludf.DUMMYFUNCTION("""COMPUTED_VALUE"""),"")</f>
        <v/>
      </c>
      <c r="O25" t="str">
        <f ca="1">IFERROR(__xludf.DUMMYFUNCTION("""COMPUTED_VALUE"""),"")</f>
        <v/>
      </c>
      <c r="P25" t="str">
        <f ca="1">IFERROR(__xludf.DUMMYFUNCTION("""COMPUTED_VALUE"""),"")</f>
        <v/>
      </c>
      <c r="Q25" s="158">
        <f ca="1">IFERROR(__xludf.DUMMYFUNCTION("""COMPUTED_VALUE"""),0.503472222222222)</f>
        <v>0.50347222222222199</v>
      </c>
      <c r="R25" t="str">
        <f ca="1">IFERROR(__xludf.DUMMYFUNCTION("""COMPUTED_VALUE"""),"A")</f>
        <v>A</v>
      </c>
      <c r="S25" s="158">
        <f ca="1">IFERROR(__xludf.DUMMYFUNCTION("""COMPUTED_VALUE"""),0.541666666666666)</f>
        <v>0.54166666666666596</v>
      </c>
      <c r="T25" t="str">
        <f ca="1">IFERROR(__xludf.DUMMYFUNCTION("""COMPUTED_VALUE"""),"A")</f>
        <v>A</v>
      </c>
      <c r="U25" t="str">
        <f ca="1">IFERROR(__xludf.DUMMYFUNCTION("""COMPUTED_VALUE"""),"")</f>
        <v/>
      </c>
      <c r="V25" t="str">
        <f ca="1">IFERROR(__xludf.DUMMYFUNCTION("""COMPUTED_VALUE"""),"")</f>
        <v/>
      </c>
      <c r="W25" t="str">
        <f ca="1">IFERROR(__xludf.DUMMYFUNCTION("""COMPUTED_VALUE"""),"")</f>
        <v/>
      </c>
      <c r="X25" t="str">
        <f ca="1">IFERROR(__xludf.DUMMYFUNCTION("""COMPUTED_VALUE"""),"")</f>
        <v/>
      </c>
      <c r="Y25" t="str">
        <f ca="1">IFERROR(__xludf.DUMMYFUNCTION("""COMPUTED_VALUE"""),"SŠ")</f>
        <v>SŠ</v>
      </c>
      <c r="Z25" t="b">
        <f ca="1">IFERROR(__xludf.DUMMYFUNCTION("""COMPUTED_VALUE"""),TRUE)</f>
        <v>1</v>
      </c>
      <c r="AA25" t="b">
        <f ca="1">IFERROR(__xludf.DUMMYFUNCTION("""COMPUTED_VALUE"""),FALSE)</f>
        <v>0</v>
      </c>
      <c r="AB25" t="b">
        <f ca="1">IFERROR(__xludf.DUMMYFUNCTION("""COMPUTED_VALUE"""),FALSE)</f>
        <v>0</v>
      </c>
      <c r="AC25" t="b">
        <f ca="1">IFERROR(__xludf.DUMMYFUNCTION("""COMPUTED_VALUE"""),TRUE)</f>
        <v>1</v>
      </c>
      <c r="AD25" t="b">
        <f ca="1">IFERROR(__xludf.DUMMYFUNCTION("""COMPUTED_VALUE"""),FALSE)</f>
        <v>0</v>
      </c>
      <c r="AE25" t="b">
        <f ca="1">IFERROR(__xludf.DUMMYFUNCTION("""COMPUTED_VALUE"""),FALSE)</f>
        <v>0</v>
      </c>
      <c r="AF25" t="b">
        <f ca="1">IFERROR(__xludf.DUMMYFUNCTION("""COMPUTED_VALUE"""),FALSE)</f>
        <v>0</v>
      </c>
      <c r="AG25" t="str">
        <f ca="1">IFERROR(__xludf.DUMMYFUNCTION("""COMPUTED_VALUE"""),"Čára (line follower), Sprint - LEGO (drag race - Lego)")</f>
        <v>Čára (line follower), Sprint - LEGO (drag race - Lego)</v>
      </c>
    </row>
    <row r="26" spans="1:33" ht="15.75" customHeight="1">
      <c r="A26">
        <f ca="1">IFERROR(__xludf.DUMMYFUNCTION("""COMPUTED_VALUE"""),23)</f>
        <v>23</v>
      </c>
      <c r="B26" t="str">
        <f ca="1">IFERROR(__xludf.DUMMYFUNCTION("""COMPUTED_VALUE"""),"Cherkasy (UA)")</f>
        <v>Cherkasy (UA)</v>
      </c>
      <c r="C26" t="str">
        <f ca="1">IFERROR(__xludf.DUMMYFUNCTION("""COMPUTED_VALUE"""),"Lucenkovo Čerkaské gymnázium №9 (UA)")</f>
        <v>Lucenkovo Čerkaské gymnázium №9 (UA)</v>
      </c>
      <c r="D26" t="str">
        <f ca="1">IFERROR(__xludf.DUMMYFUNCTION("""COMPUTED_VALUE"""),"KiborgsUA")</f>
        <v>KiborgsUA</v>
      </c>
      <c r="E26" s="158">
        <f ca="1">IFERROR(__xludf.DUMMYFUNCTION("""COMPUTED_VALUE"""),0.40625)</f>
        <v>0.40625</v>
      </c>
      <c r="F26" t="str">
        <f ca="1">IFERROR(__xludf.DUMMYFUNCTION("""COMPUTED_VALUE"""),"A")</f>
        <v>A</v>
      </c>
      <c r="G26" s="158">
        <f ca="1">IFERROR(__xludf.DUMMYFUNCTION("""COMPUTED_VALUE"""),0.476388888888888)</f>
        <v>0.47638888888888797</v>
      </c>
      <c r="H26" t="str">
        <f ca="1">IFERROR(__xludf.DUMMYFUNCTION("""COMPUTED_VALUE"""),"A")</f>
        <v>A</v>
      </c>
      <c r="I26" s="158">
        <f ca="1">IFERROR(__xludf.DUMMYFUNCTION("""COMPUTED_VALUE"""),0.551388888888888)</f>
        <v>0.55138888888888804</v>
      </c>
      <c r="J26" t="str">
        <f ca="1">IFERROR(__xludf.DUMMYFUNCTION("""COMPUTED_VALUE"""),"A")</f>
        <v>A</v>
      </c>
      <c r="K26" s="158">
        <f ca="1">IFERROR(__xludf.DUMMYFUNCTION("""COMPUTED_VALUE"""),0.434722222222222)</f>
        <v>0.43472222222222201</v>
      </c>
      <c r="L26" t="str">
        <f ca="1">IFERROR(__xludf.DUMMYFUNCTION("""COMPUTED_VALUE"""),"A")</f>
        <v>A</v>
      </c>
      <c r="M26" s="158">
        <f ca="1">IFERROR(__xludf.DUMMYFUNCTION("""COMPUTED_VALUE"""),0.525)</f>
        <v>0.52500000000000002</v>
      </c>
      <c r="N26" t="str">
        <f ca="1">IFERROR(__xludf.DUMMYFUNCTION("""COMPUTED_VALUE"""),"A")</f>
        <v>A</v>
      </c>
      <c r="O26" t="str">
        <f ca="1">IFERROR(__xludf.DUMMYFUNCTION("""COMPUTED_VALUE"""),"")</f>
        <v/>
      </c>
      <c r="P26" t="str">
        <f ca="1">IFERROR(__xludf.DUMMYFUNCTION("""COMPUTED_VALUE"""),"")</f>
        <v/>
      </c>
      <c r="Q26" s="158">
        <f ca="1">IFERROR(__xludf.DUMMYFUNCTION("""COMPUTED_VALUE"""),0.503472222222222)</f>
        <v>0.50347222222222199</v>
      </c>
      <c r="R26" t="str">
        <f ca="1">IFERROR(__xludf.DUMMYFUNCTION("""COMPUTED_VALUE"""),"B")</f>
        <v>B</v>
      </c>
      <c r="S26" s="158">
        <f ca="1">IFERROR(__xludf.DUMMYFUNCTION("""COMPUTED_VALUE"""),0.541666666666666)</f>
        <v>0.54166666666666596</v>
      </c>
      <c r="T26" t="str">
        <f ca="1">IFERROR(__xludf.DUMMYFUNCTION("""COMPUTED_VALUE"""),"B")</f>
        <v>B</v>
      </c>
      <c r="U26" t="str">
        <f ca="1">IFERROR(__xludf.DUMMYFUNCTION("""COMPUTED_VALUE"""),"")</f>
        <v/>
      </c>
      <c r="V26" t="str">
        <f ca="1">IFERROR(__xludf.DUMMYFUNCTION("""COMPUTED_VALUE"""),"")</f>
        <v/>
      </c>
      <c r="W26" t="str">
        <f ca="1">IFERROR(__xludf.DUMMYFUNCTION("""COMPUTED_VALUE"""),"")</f>
        <v/>
      </c>
      <c r="X26" t="str">
        <f ca="1">IFERROR(__xludf.DUMMYFUNCTION("""COMPUTED_VALUE"""),"")</f>
        <v/>
      </c>
      <c r="Y26" t="str">
        <f ca="1">IFERROR(__xludf.DUMMYFUNCTION("""COMPUTED_VALUE"""),"ZŠ")</f>
        <v>ZŠ</v>
      </c>
      <c r="Z26" t="b">
        <f ca="1">IFERROR(__xludf.DUMMYFUNCTION("""COMPUTED_VALUE"""),TRUE)</f>
        <v>1</v>
      </c>
      <c r="AA26" t="b">
        <f ca="1">IFERROR(__xludf.DUMMYFUNCTION("""COMPUTED_VALUE"""),TRUE)</f>
        <v>1</v>
      </c>
      <c r="AB26" t="b">
        <f ca="1">IFERROR(__xludf.DUMMYFUNCTION("""COMPUTED_VALUE"""),FALSE)</f>
        <v>0</v>
      </c>
      <c r="AC26" t="b">
        <f ca="1">IFERROR(__xludf.DUMMYFUNCTION("""COMPUTED_VALUE"""),TRUE)</f>
        <v>1</v>
      </c>
      <c r="AD26" t="b">
        <f ca="1">IFERROR(__xludf.DUMMYFUNCTION("""COMPUTED_VALUE"""),FALSE)</f>
        <v>0</v>
      </c>
      <c r="AE26" t="b">
        <f ca="1">IFERROR(__xludf.DUMMYFUNCTION("""COMPUTED_VALUE"""),FALSE)</f>
        <v>0</v>
      </c>
      <c r="AF26" t="b">
        <f ca="1">IFERROR(__xludf.DUMMYFUNCTION("""COMPUTED_VALUE"""),FALSE)</f>
        <v>0</v>
      </c>
      <c r="AG26" t="str">
        <f ca="1">IFERROR(__xludf.DUMMYFUNCTION("""COMPUTED_VALUE"""),"Čára (line follower), Autonomní medvěd (bear rescue advance), Sprint - LEGO (drag race - Lego)")</f>
        <v>Čára (line follower), Autonomní medvěd (bear rescue advance), Sprint - LEGO (drag race - Lego)</v>
      </c>
    </row>
    <row r="27" spans="1:33" ht="15.75" customHeight="1">
      <c r="A27">
        <f ca="1">IFERROR(__xludf.DUMMYFUNCTION("""COMPUTED_VALUE"""),24)</f>
        <v>24</v>
      </c>
      <c r="B27" t="str">
        <f ca="1">IFERROR(__xludf.DUMMYFUNCTION("""COMPUTED_VALUE"""),"Cherkasy (UA)")</f>
        <v>Cherkasy (UA)</v>
      </c>
      <c r="C27" t="str">
        <f ca="1">IFERROR(__xludf.DUMMYFUNCTION("""COMPUTED_VALUE"""),"Lucenkovo Čerkaské gymnázium №9 (UA)")</f>
        <v>Lucenkovo Čerkaské gymnázium №9 (UA)</v>
      </c>
      <c r="D27" t="str">
        <f ca="1">IFERROR(__xludf.DUMMYFUNCTION("""COMPUTED_VALUE"""),"KiborgsUA_JR")</f>
        <v>KiborgsUA_JR</v>
      </c>
      <c r="E27" t="str">
        <f ca="1">IFERROR(__xludf.DUMMYFUNCTION("""COMPUTED_VALUE"""),"---")</f>
        <v>---</v>
      </c>
      <c r="F27" t="str">
        <f ca="1">IFERROR(__xludf.DUMMYFUNCTION("""COMPUTED_VALUE"""),"")</f>
        <v/>
      </c>
      <c r="G27" t="str">
        <f ca="1">IFERROR(__xludf.DUMMYFUNCTION("""COMPUTED_VALUE"""),"---")</f>
        <v>---</v>
      </c>
      <c r="H27" t="str">
        <f ca="1">IFERROR(__xludf.DUMMYFUNCTION("""COMPUTED_VALUE"""),"")</f>
        <v/>
      </c>
      <c r="I27" t="str">
        <f ca="1">IFERROR(__xludf.DUMMYFUNCTION("""COMPUTED_VALUE"""),"---")</f>
        <v>---</v>
      </c>
      <c r="J27" t="str">
        <f ca="1">IFERROR(__xludf.DUMMYFUNCTION("""COMPUTED_VALUE"""),"")</f>
        <v/>
      </c>
      <c r="K27" s="158">
        <f ca="1">IFERROR(__xludf.DUMMYFUNCTION("""COMPUTED_VALUE"""),0.434722222222222)</f>
        <v>0.43472222222222201</v>
      </c>
      <c r="L27" t="str">
        <f ca="1">IFERROR(__xludf.DUMMYFUNCTION("""COMPUTED_VALUE"""),"B")</f>
        <v>B</v>
      </c>
      <c r="M27" s="158">
        <f ca="1">IFERROR(__xludf.DUMMYFUNCTION("""COMPUTED_VALUE"""),0.525)</f>
        <v>0.52500000000000002</v>
      </c>
      <c r="N27" t="str">
        <f ca="1">IFERROR(__xludf.DUMMYFUNCTION("""COMPUTED_VALUE"""),"B")</f>
        <v>B</v>
      </c>
      <c r="O27" s="158">
        <f ca="1">IFERROR(__xludf.DUMMYFUNCTION("""COMPUTED_VALUE"""),0.480555555555555)</f>
        <v>0.48055555555555501</v>
      </c>
      <c r="P27" t="str">
        <f ca="1">IFERROR(__xludf.DUMMYFUNCTION("""COMPUTED_VALUE"""),"B")</f>
        <v>B</v>
      </c>
      <c r="Q27" s="158">
        <f ca="1">IFERROR(__xludf.DUMMYFUNCTION("""COMPUTED_VALUE"""),0.504166666666666)</f>
        <v>0.50416666666666599</v>
      </c>
      <c r="R27" t="str">
        <f ca="1">IFERROR(__xludf.DUMMYFUNCTION("""COMPUTED_VALUE"""),"A")</f>
        <v>A</v>
      </c>
      <c r="S27" s="158">
        <f ca="1">IFERROR(__xludf.DUMMYFUNCTION("""COMPUTED_VALUE"""),0.542361111111111)</f>
        <v>0.54236111111111096</v>
      </c>
      <c r="T27" t="str">
        <f ca="1">IFERROR(__xludf.DUMMYFUNCTION("""COMPUTED_VALUE"""),"A")</f>
        <v>A</v>
      </c>
      <c r="U27" t="str">
        <f ca="1">IFERROR(__xludf.DUMMYFUNCTION("""COMPUTED_VALUE"""),"")</f>
        <v/>
      </c>
      <c r="V27" t="str">
        <f ca="1">IFERROR(__xludf.DUMMYFUNCTION("""COMPUTED_VALUE"""),"")</f>
        <v/>
      </c>
      <c r="W27" t="str">
        <f ca="1">IFERROR(__xludf.DUMMYFUNCTION("""COMPUTED_VALUE"""),"")</f>
        <v/>
      </c>
      <c r="X27" t="str">
        <f ca="1">IFERROR(__xludf.DUMMYFUNCTION("""COMPUTED_VALUE"""),"")</f>
        <v/>
      </c>
      <c r="Y27" t="str">
        <f ca="1">IFERROR(__xludf.DUMMYFUNCTION("""COMPUTED_VALUE"""),"ZŠ")</f>
        <v>ZŠ</v>
      </c>
      <c r="Z27" s="158" t="b">
        <f ca="1">IFERROR(__xludf.DUMMYFUNCTION("""COMPUTED_VALUE"""),FALSE)</f>
        <v>0</v>
      </c>
      <c r="AA27" t="b">
        <f ca="1">IFERROR(__xludf.DUMMYFUNCTION("""COMPUTED_VALUE"""),TRUE)</f>
        <v>1</v>
      </c>
      <c r="AB27" t="b">
        <f ca="1">IFERROR(__xludf.DUMMYFUNCTION("""COMPUTED_VALUE"""),TRUE)</f>
        <v>1</v>
      </c>
      <c r="AC27" t="b">
        <f ca="1">IFERROR(__xludf.DUMMYFUNCTION("""COMPUTED_VALUE"""),TRUE)</f>
        <v>1</v>
      </c>
      <c r="AD27" t="b">
        <f ca="1">IFERROR(__xludf.DUMMYFUNCTION("""COMPUTED_VALUE"""),FALSE)</f>
        <v>0</v>
      </c>
      <c r="AE27" t="b">
        <f ca="1">IFERROR(__xludf.DUMMYFUNCTION("""COMPUTED_VALUE"""),FALSE)</f>
        <v>0</v>
      </c>
      <c r="AF27" t="b">
        <f ca="1">IFERROR(__xludf.DUMMYFUNCTION("""COMPUTED_VALUE"""),FALSE)</f>
        <v>0</v>
      </c>
      <c r="AG27" t="str">
        <f ca="1">IFERROR(__xludf.DUMMYFUNCTION("""COMPUTED_VALUE"""),"Dálkový medvěd (bear rescue), Autonomní medvěd (bear rescue advance), Sprint - LEGO (drag race - Lego)")</f>
        <v>Dálkový medvěd (bear rescue), Autonomní medvěd (bear rescue advance), Sprint - LEGO (drag race - Lego)</v>
      </c>
    </row>
    <row r="28" spans="1:33" ht="15.75" customHeight="1">
      <c r="A28">
        <f ca="1">IFERROR(__xludf.DUMMYFUNCTION("""COMPUTED_VALUE"""),25)</f>
        <v>25</v>
      </c>
      <c r="B28" t="str">
        <f ca="1">IFERROR(__xludf.DUMMYFUNCTION("""COMPUTED_VALUE"""),"Brno")</f>
        <v>Brno</v>
      </c>
      <c r="C28" t="str">
        <f ca="1">IFERROR(__xludf.DUMMYFUNCTION("""COMPUTED_VALUE"""),"Robotárna DDM Helceletova Brno")</f>
        <v>Robotárna DDM Helceletova Brno</v>
      </c>
      <c r="D28" t="str">
        <f ca="1">IFERROR(__xludf.DUMMYFUNCTION("""COMPUTED_VALUE"""),"Junioři z Robotárny")</f>
        <v>Junioři z Robotárny</v>
      </c>
      <c r="E28" t="str">
        <f ca="1">IFERROR(__xludf.DUMMYFUNCTION("""COMPUTED_VALUE"""),"---")</f>
        <v>---</v>
      </c>
      <c r="F28" t="str">
        <f ca="1">IFERROR(__xludf.DUMMYFUNCTION("""COMPUTED_VALUE"""),"")</f>
        <v/>
      </c>
      <c r="G28" t="str">
        <f ca="1">IFERROR(__xludf.DUMMYFUNCTION("""COMPUTED_VALUE"""),"---")</f>
        <v>---</v>
      </c>
      <c r="H28" t="str">
        <f ca="1">IFERROR(__xludf.DUMMYFUNCTION("""COMPUTED_VALUE"""),"")</f>
        <v/>
      </c>
      <c r="I28" t="str">
        <f ca="1">IFERROR(__xludf.DUMMYFUNCTION("""COMPUTED_VALUE"""),"---")</f>
        <v>---</v>
      </c>
      <c r="J28" t="str">
        <f ca="1">IFERROR(__xludf.DUMMYFUNCTION("""COMPUTED_VALUE"""),"")</f>
        <v/>
      </c>
      <c r="K28" s="158">
        <f ca="1">IFERROR(__xludf.DUMMYFUNCTION("""COMPUTED_VALUE"""),0.436805555555555)</f>
        <v>0.436805555555555</v>
      </c>
      <c r="L28" t="str">
        <f ca="1">IFERROR(__xludf.DUMMYFUNCTION("""COMPUTED_VALUE"""),"A")</f>
        <v>A</v>
      </c>
      <c r="M28" s="158">
        <f ca="1">IFERROR(__xludf.DUMMYFUNCTION("""COMPUTED_VALUE"""),0.527083333333333)</f>
        <v>0.52708333333333302</v>
      </c>
      <c r="N28" t="str">
        <f ca="1">IFERROR(__xludf.DUMMYFUNCTION("""COMPUTED_VALUE"""),"A")</f>
        <v>A</v>
      </c>
      <c r="O28" t="str">
        <f ca="1">IFERROR(__xludf.DUMMYFUNCTION("""COMPUTED_VALUE"""),"")</f>
        <v/>
      </c>
      <c r="P28" t="str">
        <f ca="1">IFERROR(__xludf.DUMMYFUNCTION("""COMPUTED_VALUE"""),"")</f>
        <v/>
      </c>
      <c r="Q28" s="158">
        <f ca="1">IFERROR(__xludf.DUMMYFUNCTION("""COMPUTED_VALUE"""),0.504166666666666)</f>
        <v>0.50416666666666599</v>
      </c>
      <c r="R28" t="str">
        <f ca="1">IFERROR(__xludf.DUMMYFUNCTION("""COMPUTED_VALUE"""),"B")</f>
        <v>B</v>
      </c>
      <c r="S28" s="158">
        <f ca="1">IFERROR(__xludf.DUMMYFUNCTION("""COMPUTED_VALUE"""),0.542361111111111)</f>
        <v>0.54236111111111096</v>
      </c>
      <c r="T28" t="str">
        <f ca="1">IFERROR(__xludf.DUMMYFUNCTION("""COMPUTED_VALUE"""),"B")</f>
        <v>B</v>
      </c>
      <c r="U28" t="str">
        <f ca="1">IFERROR(__xludf.DUMMYFUNCTION("""COMPUTED_VALUE"""),"")</f>
        <v/>
      </c>
      <c r="V28" t="str">
        <f ca="1">IFERROR(__xludf.DUMMYFUNCTION("""COMPUTED_VALUE"""),"")</f>
        <v/>
      </c>
      <c r="W28" t="str">
        <f ca="1">IFERROR(__xludf.DUMMYFUNCTION("""COMPUTED_VALUE"""),"")</f>
        <v/>
      </c>
      <c r="X28" t="str">
        <f ca="1">IFERROR(__xludf.DUMMYFUNCTION("""COMPUTED_VALUE"""),"")</f>
        <v/>
      </c>
      <c r="Y28" t="str">
        <f ca="1">IFERROR(__xludf.DUMMYFUNCTION("""COMPUTED_VALUE"""),"SŠ")</f>
        <v>SŠ</v>
      </c>
      <c r="Z28" s="158" t="b">
        <f ca="1">IFERROR(__xludf.DUMMYFUNCTION("""COMPUTED_VALUE"""),FALSE)</f>
        <v>0</v>
      </c>
      <c r="AA28" t="b">
        <f ca="1">IFERROR(__xludf.DUMMYFUNCTION("""COMPUTED_VALUE"""),TRUE)</f>
        <v>1</v>
      </c>
      <c r="AB28" t="b">
        <f ca="1">IFERROR(__xludf.DUMMYFUNCTION("""COMPUTED_VALUE"""),FALSE)</f>
        <v>0</v>
      </c>
      <c r="AC28" t="b">
        <f ca="1">IFERROR(__xludf.DUMMYFUNCTION("""COMPUTED_VALUE"""),TRUE)</f>
        <v>1</v>
      </c>
      <c r="AD28" t="b">
        <f ca="1">IFERROR(__xludf.DUMMYFUNCTION("""COMPUTED_VALUE"""),FALSE)</f>
        <v>0</v>
      </c>
      <c r="AE28" t="b">
        <f ca="1">IFERROR(__xludf.DUMMYFUNCTION("""COMPUTED_VALUE"""),FALSE)</f>
        <v>0</v>
      </c>
      <c r="AF28" t="b">
        <f ca="1">IFERROR(__xludf.DUMMYFUNCTION("""COMPUTED_VALUE"""),FALSE)</f>
        <v>0</v>
      </c>
      <c r="AG28" t="str">
        <f ca="1">IFERROR(__xludf.DUMMYFUNCTION("""COMPUTED_VALUE"""),"Autonomní medvěd (bear rescue advance), Sprint - LEGO (drag race - Lego)")</f>
        <v>Autonomní medvěd (bear rescue advance), Sprint - LEGO (drag race - Lego)</v>
      </c>
    </row>
    <row r="29" spans="1:33" ht="13.2">
      <c r="A29">
        <f ca="1">IFERROR(__xludf.DUMMYFUNCTION("""COMPUTED_VALUE"""),26)</f>
        <v>26</v>
      </c>
      <c r="B29" t="str">
        <f ca="1">IFERROR(__xludf.DUMMYFUNCTION("""COMPUTED_VALUE"""),"Brno")</f>
        <v>Brno</v>
      </c>
      <c r="C29" t="str">
        <f ca="1">IFERROR(__xludf.DUMMYFUNCTION("""COMPUTED_VALUE"""),"Robotárna DDM Helceletova Brno")</f>
        <v>Robotárna DDM Helceletova Brno</v>
      </c>
      <c r="D29" t="str">
        <f ca="1">IFERROR(__xludf.DUMMYFUNCTION("""COMPUTED_VALUE"""),"Pupinteam")</f>
        <v>Pupinteam</v>
      </c>
      <c r="E29" s="158">
        <f ca="1">IFERROR(__xludf.DUMMYFUNCTION("""COMPUTED_VALUE"""),0.40625)</f>
        <v>0.40625</v>
      </c>
      <c r="F29" t="str">
        <f ca="1">IFERROR(__xludf.DUMMYFUNCTION("""COMPUTED_VALUE"""),"B")</f>
        <v>B</v>
      </c>
      <c r="G29" s="158">
        <f ca="1">IFERROR(__xludf.DUMMYFUNCTION("""COMPUTED_VALUE"""),0.476388888888888)</f>
        <v>0.47638888888888797</v>
      </c>
      <c r="H29" t="str">
        <f ca="1">IFERROR(__xludf.DUMMYFUNCTION("""COMPUTED_VALUE"""),"B")</f>
        <v>B</v>
      </c>
      <c r="I29" s="158">
        <f ca="1">IFERROR(__xludf.DUMMYFUNCTION("""COMPUTED_VALUE"""),0.551388888888888)</f>
        <v>0.55138888888888804</v>
      </c>
      <c r="J29" t="str">
        <f ca="1">IFERROR(__xludf.DUMMYFUNCTION("""COMPUTED_VALUE"""),"B")</f>
        <v>B</v>
      </c>
      <c r="K29" t="str">
        <f ca="1">IFERROR(__xludf.DUMMYFUNCTION("""COMPUTED_VALUE"""),"")</f>
        <v/>
      </c>
      <c r="L29" t="str">
        <f ca="1">IFERROR(__xludf.DUMMYFUNCTION("""COMPUTED_VALUE"""),"")</f>
        <v/>
      </c>
      <c r="M29" t="str">
        <f ca="1">IFERROR(__xludf.DUMMYFUNCTION("""COMPUTED_VALUE"""),"")</f>
        <v/>
      </c>
      <c r="N29" t="str">
        <f ca="1">IFERROR(__xludf.DUMMYFUNCTION("""COMPUTED_VALUE"""),"")</f>
        <v/>
      </c>
      <c r="O29" t="str">
        <f ca="1">IFERROR(__xludf.DUMMYFUNCTION("""COMPUTED_VALUE"""),"")</f>
        <v/>
      </c>
      <c r="P29" t="str">
        <f ca="1">IFERROR(__xludf.DUMMYFUNCTION("""COMPUTED_VALUE"""),"")</f>
        <v/>
      </c>
      <c r="Q29" t="str">
        <f ca="1">IFERROR(__xludf.DUMMYFUNCTION("""COMPUTED_VALUE"""),"")</f>
        <v/>
      </c>
      <c r="R29" t="str">
        <f ca="1">IFERROR(__xludf.DUMMYFUNCTION("""COMPUTED_VALUE"""),"")</f>
        <v/>
      </c>
      <c r="S29" t="str">
        <f ca="1">IFERROR(__xludf.DUMMYFUNCTION("""COMPUTED_VALUE"""),"")</f>
        <v/>
      </c>
      <c r="T29" t="str">
        <f ca="1">IFERROR(__xludf.DUMMYFUNCTION("""COMPUTED_VALUE"""),"")</f>
        <v/>
      </c>
      <c r="U29" t="str">
        <f ca="1">IFERROR(__xludf.DUMMYFUNCTION("""COMPUTED_VALUE"""),"")</f>
        <v/>
      </c>
      <c r="V29" t="str">
        <f ca="1">IFERROR(__xludf.DUMMYFUNCTION("""COMPUTED_VALUE"""),"")</f>
        <v/>
      </c>
      <c r="W29" t="str">
        <f ca="1">IFERROR(__xludf.DUMMYFUNCTION("""COMPUTED_VALUE"""),"")</f>
        <v/>
      </c>
      <c r="X29" t="str">
        <f ca="1">IFERROR(__xludf.DUMMYFUNCTION("""COMPUTED_VALUE"""),"")</f>
        <v/>
      </c>
      <c r="Y29" t="str">
        <f ca="1">IFERROR(__xludf.DUMMYFUNCTION("""COMPUTED_VALUE"""),"ZŠ")</f>
        <v>ZŠ</v>
      </c>
      <c r="Z29" t="b">
        <f ca="1">IFERROR(__xludf.DUMMYFUNCTION("""COMPUTED_VALUE"""),TRUE)</f>
        <v>1</v>
      </c>
      <c r="AA29" t="b">
        <f ca="1">IFERROR(__xludf.DUMMYFUNCTION("""COMPUTED_VALUE"""),FALSE)</f>
        <v>0</v>
      </c>
      <c r="AB29" t="b">
        <f ca="1">IFERROR(__xludf.DUMMYFUNCTION("""COMPUTED_VALUE"""),FALSE)</f>
        <v>0</v>
      </c>
      <c r="AC29" t="b">
        <f ca="1">IFERROR(__xludf.DUMMYFUNCTION("""COMPUTED_VALUE"""),FALSE)</f>
        <v>0</v>
      </c>
      <c r="AD29" t="b">
        <f ca="1">IFERROR(__xludf.DUMMYFUNCTION("""COMPUTED_VALUE"""),FALSE)</f>
        <v>0</v>
      </c>
      <c r="AE29" t="b">
        <f ca="1">IFERROR(__xludf.DUMMYFUNCTION("""COMPUTED_VALUE"""),FALSE)</f>
        <v>0</v>
      </c>
      <c r="AF29" t="b">
        <f ca="1">IFERROR(__xludf.DUMMYFUNCTION("""COMPUTED_VALUE"""),FALSE)</f>
        <v>0</v>
      </c>
      <c r="AG29" t="str">
        <f ca="1">IFERROR(__xludf.DUMMYFUNCTION("""COMPUTED_VALUE"""),"Čára (line follower)")</f>
        <v>Čára (line follower)</v>
      </c>
    </row>
    <row r="30" spans="1:33" ht="13.2">
      <c r="A30">
        <f ca="1">IFERROR(__xludf.DUMMYFUNCTION("""COMPUTED_VALUE"""),27)</f>
        <v>27</v>
      </c>
      <c r="B30" t="str">
        <f ca="1">IFERROR(__xludf.DUMMYFUNCTION("""COMPUTED_VALUE"""),"Brno")</f>
        <v>Brno</v>
      </c>
      <c r="C30" t="str">
        <f ca="1">IFERROR(__xludf.DUMMYFUNCTION("""COMPUTED_VALUE"""),"Robotárna DDM Helceletova Brno")</f>
        <v>Robotárna DDM Helceletova Brno</v>
      </c>
      <c r="D30" t="str">
        <f ca="1">IFERROR(__xludf.DUMMYFUNCTION("""COMPUTED_VALUE"""),"Potvory s.r.o.")</f>
        <v>Potvory s.r.o.</v>
      </c>
      <c r="E30" t="str">
        <f ca="1">IFERROR(__xludf.DUMMYFUNCTION("""COMPUTED_VALUE"""),"---")</f>
        <v>---</v>
      </c>
      <c r="F30" t="str">
        <f ca="1">IFERROR(__xludf.DUMMYFUNCTION("""COMPUTED_VALUE"""),"")</f>
        <v/>
      </c>
      <c r="G30" t="str">
        <f ca="1">IFERROR(__xludf.DUMMYFUNCTION("""COMPUTED_VALUE"""),"---")</f>
        <v>---</v>
      </c>
      <c r="H30" t="str">
        <f ca="1">IFERROR(__xludf.DUMMYFUNCTION("""COMPUTED_VALUE"""),"")</f>
        <v/>
      </c>
      <c r="I30" t="str">
        <f ca="1">IFERROR(__xludf.DUMMYFUNCTION("""COMPUTED_VALUE"""),"---")</f>
        <v>---</v>
      </c>
      <c r="J30" t="str">
        <f ca="1">IFERROR(__xludf.DUMMYFUNCTION("""COMPUTED_VALUE"""),"")</f>
        <v/>
      </c>
      <c r="K30" t="str">
        <f ca="1">IFERROR(__xludf.DUMMYFUNCTION("""COMPUTED_VALUE"""),"")</f>
        <v/>
      </c>
      <c r="L30" t="str">
        <f ca="1">IFERROR(__xludf.DUMMYFUNCTION("""COMPUTED_VALUE"""),"")</f>
        <v/>
      </c>
      <c r="M30" t="str">
        <f ca="1">IFERROR(__xludf.DUMMYFUNCTION("""COMPUTED_VALUE"""),"")</f>
        <v/>
      </c>
      <c r="N30" t="str">
        <f ca="1">IFERROR(__xludf.DUMMYFUNCTION("""COMPUTED_VALUE"""),"")</f>
        <v/>
      </c>
      <c r="O30" t="str">
        <f ca="1">IFERROR(__xludf.DUMMYFUNCTION("""COMPUTED_VALUE"""),"")</f>
        <v/>
      </c>
      <c r="P30" t="str">
        <f ca="1">IFERROR(__xludf.DUMMYFUNCTION("""COMPUTED_VALUE"""),"")</f>
        <v/>
      </c>
      <c r="Q30" t="str">
        <f ca="1">IFERROR(__xludf.DUMMYFUNCTION("""COMPUTED_VALUE"""),"")</f>
        <v/>
      </c>
      <c r="R30" t="str">
        <f ca="1">IFERROR(__xludf.DUMMYFUNCTION("""COMPUTED_VALUE"""),"")</f>
        <v/>
      </c>
      <c r="S30" t="str">
        <f ca="1">IFERROR(__xludf.DUMMYFUNCTION("""COMPUTED_VALUE"""),"")</f>
        <v/>
      </c>
      <c r="T30" t="str">
        <f ca="1">IFERROR(__xludf.DUMMYFUNCTION("""COMPUTED_VALUE"""),"")</f>
        <v/>
      </c>
      <c r="U30" s="158">
        <f ca="1">IFERROR(__xludf.DUMMYFUNCTION("""COMPUTED_VALUE"""),0.532638888888888)</f>
        <v>0.532638888888888</v>
      </c>
      <c r="V30" t="str">
        <f ca="1">IFERROR(__xludf.DUMMYFUNCTION("""COMPUTED_VALUE"""),"B")</f>
        <v>B</v>
      </c>
      <c r="W30" s="158">
        <f ca="1">IFERROR(__xludf.DUMMYFUNCTION("""COMPUTED_VALUE"""),0.570833333333333)</f>
        <v>0.57083333333333297</v>
      </c>
      <c r="X30" t="str">
        <f ca="1">IFERROR(__xludf.DUMMYFUNCTION("""COMPUTED_VALUE"""),"B")</f>
        <v>B</v>
      </c>
      <c r="Y30" t="str">
        <f ca="1">IFERROR(__xludf.DUMMYFUNCTION("""COMPUTED_VALUE"""),"SŠ")</f>
        <v>SŠ</v>
      </c>
      <c r="Z30" s="158" t="b">
        <f ca="1">IFERROR(__xludf.DUMMYFUNCTION("""COMPUTED_VALUE"""),FALSE)</f>
        <v>0</v>
      </c>
      <c r="AA30" t="b">
        <f ca="1">IFERROR(__xludf.DUMMYFUNCTION("""COMPUTED_VALUE"""),FALSE)</f>
        <v>0</v>
      </c>
      <c r="AB30" t="b">
        <f ca="1">IFERROR(__xludf.DUMMYFUNCTION("""COMPUTED_VALUE"""),FALSE)</f>
        <v>0</v>
      </c>
      <c r="AC30" t="b">
        <f ca="1">IFERROR(__xludf.DUMMYFUNCTION("""COMPUTED_VALUE"""),FALSE)</f>
        <v>0</v>
      </c>
      <c r="AD30" t="b">
        <f ca="1">IFERROR(__xludf.DUMMYFUNCTION("""COMPUTED_VALUE"""),TRUE)</f>
        <v>1</v>
      </c>
      <c r="AE30" t="b">
        <f ca="1">IFERROR(__xludf.DUMMYFUNCTION("""COMPUTED_VALUE"""),FALSE)</f>
        <v>0</v>
      </c>
      <c r="AF30" t="b">
        <f ca="1">IFERROR(__xludf.DUMMYFUNCTION("""COMPUTED_VALUE"""),FALSE)</f>
        <v>0</v>
      </c>
      <c r="AG30" t="str">
        <f ca="1">IFERROR(__xludf.DUMMYFUNCTION("""COMPUTED_VALUE"""),"Sprint - NeLEGOvý (drag race - Non Lego)")</f>
        <v>Sprint - NeLEGOvý (drag race - Non Lego)</v>
      </c>
    </row>
    <row r="31" spans="1:33" ht="13.2">
      <c r="A31">
        <f ca="1">IFERROR(__xludf.DUMMYFUNCTION("""COMPUTED_VALUE"""),28)</f>
        <v>28</v>
      </c>
      <c r="B31" t="str">
        <f ca="1">IFERROR(__xludf.DUMMYFUNCTION("""COMPUTED_VALUE"""),"Szombathely (HU)")</f>
        <v>Szombathely (HU)</v>
      </c>
      <c r="C31" t="str">
        <f ca="1">IFERROR(__xludf.DUMMYFUNCTION("""COMPUTED_VALUE"""),"Club of Robot Masters Szombathely")</f>
        <v>Club of Robot Masters Szombathely</v>
      </c>
      <c r="D31" t="str">
        <f ca="1">IFERROR(__xludf.DUMMYFUNCTION("""COMPUTED_VALUE"""),"Speedgasm")</f>
        <v>Speedgasm</v>
      </c>
      <c r="E31" t="str">
        <f ca="1">IFERROR(__xludf.DUMMYFUNCTION("""COMPUTED_VALUE"""),"---")</f>
        <v>---</v>
      </c>
      <c r="F31" t="str">
        <f ca="1">IFERROR(__xludf.DUMMYFUNCTION("""COMPUTED_VALUE"""),"")</f>
        <v/>
      </c>
      <c r="G31" t="str">
        <f ca="1">IFERROR(__xludf.DUMMYFUNCTION("""COMPUTED_VALUE"""),"---")</f>
        <v>---</v>
      </c>
      <c r="H31" t="str">
        <f ca="1">IFERROR(__xludf.DUMMYFUNCTION("""COMPUTED_VALUE"""),"")</f>
        <v/>
      </c>
      <c r="I31" t="str">
        <f ca="1">IFERROR(__xludf.DUMMYFUNCTION("""COMPUTED_VALUE"""),"---")</f>
        <v>---</v>
      </c>
      <c r="J31" t="str">
        <f ca="1">IFERROR(__xludf.DUMMYFUNCTION("""COMPUTED_VALUE"""),"")</f>
        <v/>
      </c>
      <c r="K31" t="str">
        <f ca="1">IFERROR(__xludf.DUMMYFUNCTION("""COMPUTED_VALUE"""),"")</f>
        <v/>
      </c>
      <c r="L31" t="str">
        <f ca="1">IFERROR(__xludf.DUMMYFUNCTION("""COMPUTED_VALUE"""),"")</f>
        <v/>
      </c>
      <c r="M31" t="str">
        <f ca="1">IFERROR(__xludf.DUMMYFUNCTION("""COMPUTED_VALUE"""),"")</f>
        <v/>
      </c>
      <c r="N31" t="str">
        <f ca="1">IFERROR(__xludf.DUMMYFUNCTION("""COMPUTED_VALUE"""),"")</f>
        <v/>
      </c>
      <c r="O31" t="str">
        <f ca="1">IFERROR(__xludf.DUMMYFUNCTION("""COMPUTED_VALUE"""),"")</f>
        <v/>
      </c>
      <c r="P31" t="str">
        <f ca="1">IFERROR(__xludf.DUMMYFUNCTION("""COMPUTED_VALUE"""),"")</f>
        <v/>
      </c>
      <c r="Q31" s="158">
        <f ca="1">IFERROR(__xludf.DUMMYFUNCTION("""COMPUTED_VALUE"""),0.504861111111111)</f>
        <v>0.50486111111111098</v>
      </c>
      <c r="R31" t="str">
        <f ca="1">IFERROR(__xludf.DUMMYFUNCTION("""COMPUTED_VALUE"""),"A")</f>
        <v>A</v>
      </c>
      <c r="S31" s="158">
        <f ca="1">IFERROR(__xludf.DUMMYFUNCTION("""COMPUTED_VALUE"""),0.543055555555555)</f>
        <v>0.54305555555555496</v>
      </c>
      <c r="T31" t="str">
        <f ca="1">IFERROR(__xludf.DUMMYFUNCTION("""COMPUTED_VALUE"""),"A")</f>
        <v>A</v>
      </c>
      <c r="U31" t="str">
        <f ca="1">IFERROR(__xludf.DUMMYFUNCTION("""COMPUTED_VALUE"""),"")</f>
        <v/>
      </c>
      <c r="V31" t="str">
        <f ca="1">IFERROR(__xludf.DUMMYFUNCTION("""COMPUTED_VALUE"""),"")</f>
        <v/>
      </c>
      <c r="W31" t="str">
        <f ca="1">IFERROR(__xludf.DUMMYFUNCTION("""COMPUTED_VALUE"""),"")</f>
        <v/>
      </c>
      <c r="X31" t="str">
        <f ca="1">IFERROR(__xludf.DUMMYFUNCTION("""COMPUTED_VALUE"""),"")</f>
        <v/>
      </c>
      <c r="Y31" t="str">
        <f ca="1">IFERROR(__xludf.DUMMYFUNCTION("""COMPUTED_VALUE"""),"SŠ (15-19 years)")</f>
        <v>SŠ (15-19 years)</v>
      </c>
      <c r="Z31" s="158" t="b">
        <f ca="1">IFERROR(__xludf.DUMMYFUNCTION("""COMPUTED_VALUE"""),FALSE)</f>
        <v>0</v>
      </c>
      <c r="AA31" t="b">
        <f ca="1">IFERROR(__xludf.DUMMYFUNCTION("""COMPUTED_VALUE"""),FALSE)</f>
        <v>0</v>
      </c>
      <c r="AB31" t="b">
        <f ca="1">IFERROR(__xludf.DUMMYFUNCTION("""COMPUTED_VALUE"""),FALSE)</f>
        <v>0</v>
      </c>
      <c r="AC31" t="b">
        <f ca="1">IFERROR(__xludf.DUMMYFUNCTION("""COMPUTED_VALUE"""),TRUE)</f>
        <v>1</v>
      </c>
      <c r="AD31" t="b">
        <f ca="1">IFERROR(__xludf.DUMMYFUNCTION("""COMPUTED_VALUE"""),FALSE)</f>
        <v>0</v>
      </c>
      <c r="AE31" t="b">
        <f ca="1">IFERROR(__xludf.DUMMYFUNCTION("""COMPUTED_VALUE"""),FALSE)</f>
        <v>0</v>
      </c>
      <c r="AF31" t="b">
        <f ca="1">IFERROR(__xludf.DUMMYFUNCTION("""COMPUTED_VALUE"""),FALSE)</f>
        <v>0</v>
      </c>
      <c r="AG31" t="str">
        <f ca="1">IFERROR(__xludf.DUMMYFUNCTION("""COMPUTED_VALUE"""),"Sprint - LEGO (drag race - Lego)")</f>
        <v>Sprint - LEGO (drag race - Lego)</v>
      </c>
    </row>
    <row r="32" spans="1:33" ht="13.2">
      <c r="A32">
        <f ca="1">IFERROR(__xludf.DUMMYFUNCTION("""COMPUTED_VALUE"""),29)</f>
        <v>29</v>
      </c>
      <c r="B32" t="str">
        <f ca="1">IFERROR(__xludf.DUMMYFUNCTION("""COMPUTED_VALUE"""),"Szombathely (HU)")</f>
        <v>Szombathely (HU)</v>
      </c>
      <c r="C32" t="str">
        <f ca="1">IFERROR(__xludf.DUMMYFUNCTION("""COMPUTED_VALUE"""),"Club of Robot Masters Szombathely")</f>
        <v>Club of Robot Masters Szombathely</v>
      </c>
      <c r="D32" t="str">
        <f ca="1">IFERROR(__xludf.DUMMYFUNCTION("""COMPUTED_VALUE"""),"Uniquecode")</f>
        <v>Uniquecode</v>
      </c>
      <c r="E32" s="158">
        <f ca="1">IFERROR(__xludf.DUMMYFUNCTION("""COMPUTED_VALUE"""),0.407638888888888)</f>
        <v>0.407638888888888</v>
      </c>
      <c r="F32" t="str">
        <f ca="1">IFERROR(__xludf.DUMMYFUNCTION("""COMPUTED_VALUE"""),"A")</f>
        <v>A</v>
      </c>
      <c r="G32" s="158">
        <f ca="1">IFERROR(__xludf.DUMMYFUNCTION("""COMPUTED_VALUE"""),0.477777777777777)</f>
        <v>0.47777777777777702</v>
      </c>
      <c r="H32" t="str">
        <f ca="1">IFERROR(__xludf.DUMMYFUNCTION("""COMPUTED_VALUE"""),"A")</f>
        <v>A</v>
      </c>
      <c r="I32" s="158">
        <f ca="1">IFERROR(__xludf.DUMMYFUNCTION("""COMPUTED_VALUE"""),0.552777777777777)</f>
        <v>0.55277777777777704</v>
      </c>
      <c r="J32" t="str">
        <f ca="1">IFERROR(__xludf.DUMMYFUNCTION("""COMPUTED_VALUE"""),"A")</f>
        <v>A</v>
      </c>
      <c r="K32" t="str">
        <f ca="1">IFERROR(__xludf.DUMMYFUNCTION("""COMPUTED_VALUE"""),"")</f>
        <v/>
      </c>
      <c r="L32" t="str">
        <f ca="1">IFERROR(__xludf.DUMMYFUNCTION("""COMPUTED_VALUE"""),"")</f>
        <v/>
      </c>
      <c r="M32" t="str">
        <f ca="1">IFERROR(__xludf.DUMMYFUNCTION("""COMPUTED_VALUE"""),"")</f>
        <v/>
      </c>
      <c r="N32" t="str">
        <f ca="1">IFERROR(__xludf.DUMMYFUNCTION("""COMPUTED_VALUE"""),"")</f>
        <v/>
      </c>
      <c r="O32" t="str">
        <f ca="1">IFERROR(__xludf.DUMMYFUNCTION("""COMPUTED_VALUE"""),"")</f>
        <v/>
      </c>
      <c r="P32" t="str">
        <f ca="1">IFERROR(__xludf.DUMMYFUNCTION("""COMPUTED_VALUE"""),"")</f>
        <v/>
      </c>
      <c r="Q32" t="str">
        <f ca="1">IFERROR(__xludf.DUMMYFUNCTION("""COMPUTED_VALUE"""),"")</f>
        <v/>
      </c>
      <c r="R32" t="str">
        <f ca="1">IFERROR(__xludf.DUMMYFUNCTION("""COMPUTED_VALUE"""),"")</f>
        <v/>
      </c>
      <c r="S32" t="str">
        <f ca="1">IFERROR(__xludf.DUMMYFUNCTION("""COMPUTED_VALUE"""),"")</f>
        <v/>
      </c>
      <c r="T32" t="str">
        <f ca="1">IFERROR(__xludf.DUMMYFUNCTION("""COMPUTED_VALUE"""),"")</f>
        <v/>
      </c>
      <c r="U32" t="str">
        <f ca="1">IFERROR(__xludf.DUMMYFUNCTION("""COMPUTED_VALUE"""),"")</f>
        <v/>
      </c>
      <c r="V32" t="str">
        <f ca="1">IFERROR(__xludf.DUMMYFUNCTION("""COMPUTED_VALUE"""),"")</f>
        <v/>
      </c>
      <c r="W32" t="str">
        <f ca="1">IFERROR(__xludf.DUMMYFUNCTION("""COMPUTED_VALUE"""),"")</f>
        <v/>
      </c>
      <c r="X32" t="str">
        <f ca="1">IFERROR(__xludf.DUMMYFUNCTION("""COMPUTED_VALUE"""),"")</f>
        <v/>
      </c>
      <c r="Y32" t="str">
        <f ca="1">IFERROR(__xludf.DUMMYFUNCTION("""COMPUTED_VALUE"""),"SŠ (15-19 years)")</f>
        <v>SŠ (15-19 years)</v>
      </c>
      <c r="Z32" t="b">
        <f ca="1">IFERROR(__xludf.DUMMYFUNCTION("""COMPUTED_VALUE"""),TRUE)</f>
        <v>1</v>
      </c>
      <c r="AA32" t="b">
        <f ca="1">IFERROR(__xludf.DUMMYFUNCTION("""COMPUTED_VALUE"""),FALSE)</f>
        <v>0</v>
      </c>
      <c r="AB32" t="b">
        <f ca="1">IFERROR(__xludf.DUMMYFUNCTION("""COMPUTED_VALUE"""),FALSE)</f>
        <v>0</v>
      </c>
      <c r="AC32" t="b">
        <f ca="1">IFERROR(__xludf.DUMMYFUNCTION("""COMPUTED_VALUE"""),FALSE)</f>
        <v>0</v>
      </c>
      <c r="AD32" t="b">
        <f ca="1">IFERROR(__xludf.DUMMYFUNCTION("""COMPUTED_VALUE"""),FALSE)</f>
        <v>0</v>
      </c>
      <c r="AE32" t="b">
        <f ca="1">IFERROR(__xludf.DUMMYFUNCTION("""COMPUTED_VALUE"""),FALSE)</f>
        <v>0</v>
      </c>
      <c r="AF32" t="b">
        <f ca="1">IFERROR(__xludf.DUMMYFUNCTION("""COMPUTED_VALUE"""),FALSE)</f>
        <v>0</v>
      </c>
      <c r="AG32" t="str">
        <f ca="1">IFERROR(__xludf.DUMMYFUNCTION("""COMPUTED_VALUE"""),"Čára (line follower)")</f>
        <v>Čára (line follower)</v>
      </c>
    </row>
    <row r="33" spans="1:33" ht="13.2">
      <c r="A33">
        <f ca="1">IFERROR(__xludf.DUMMYFUNCTION("""COMPUTED_VALUE"""),30)</f>
        <v>30</v>
      </c>
      <c r="B33" t="str">
        <f ca="1">IFERROR(__xludf.DUMMYFUNCTION("""COMPUTED_VALUE"""),"Szombathely (HU)")</f>
        <v>Szombathely (HU)</v>
      </c>
      <c r="C33" t="str">
        <f ca="1">IFERROR(__xludf.DUMMYFUNCTION("""COMPUTED_VALUE"""),"Club of Robot Masters Szombathely")</f>
        <v>Club of Robot Masters Szombathely</v>
      </c>
      <c r="D33" t="str">
        <f ca="1">IFERROR(__xludf.DUMMYFUNCTION("""COMPUTED_VALUE"""),"dirty blox")</f>
        <v>dirty blox</v>
      </c>
      <c r="E33" s="158">
        <f ca="1">IFERROR(__xludf.DUMMYFUNCTION("""COMPUTED_VALUE"""),0.407638888888888)</f>
        <v>0.407638888888888</v>
      </c>
      <c r="F33" t="str">
        <f ca="1">IFERROR(__xludf.DUMMYFUNCTION("""COMPUTED_VALUE"""),"B")</f>
        <v>B</v>
      </c>
      <c r="G33" s="158">
        <f ca="1">IFERROR(__xludf.DUMMYFUNCTION("""COMPUTED_VALUE"""),0.477777777777777)</f>
        <v>0.47777777777777702</v>
      </c>
      <c r="H33" t="str">
        <f ca="1">IFERROR(__xludf.DUMMYFUNCTION("""COMPUTED_VALUE"""),"B")</f>
        <v>B</v>
      </c>
      <c r="I33" s="158">
        <f ca="1">IFERROR(__xludf.DUMMYFUNCTION("""COMPUTED_VALUE"""),0.552777777777777)</f>
        <v>0.55277777777777704</v>
      </c>
      <c r="J33" t="str">
        <f ca="1">IFERROR(__xludf.DUMMYFUNCTION("""COMPUTED_VALUE"""),"B")</f>
        <v>B</v>
      </c>
      <c r="K33" t="str">
        <f ca="1">IFERROR(__xludf.DUMMYFUNCTION("""COMPUTED_VALUE"""),"")</f>
        <v/>
      </c>
      <c r="L33" t="str">
        <f ca="1">IFERROR(__xludf.DUMMYFUNCTION("""COMPUTED_VALUE"""),"")</f>
        <v/>
      </c>
      <c r="M33" t="str">
        <f ca="1">IFERROR(__xludf.DUMMYFUNCTION("""COMPUTED_VALUE"""),"")</f>
        <v/>
      </c>
      <c r="N33" t="str">
        <f ca="1">IFERROR(__xludf.DUMMYFUNCTION("""COMPUTED_VALUE"""),"")</f>
        <v/>
      </c>
      <c r="O33" t="str">
        <f ca="1">IFERROR(__xludf.DUMMYFUNCTION("""COMPUTED_VALUE"""),"")</f>
        <v/>
      </c>
      <c r="P33" t="str">
        <f ca="1">IFERROR(__xludf.DUMMYFUNCTION("""COMPUTED_VALUE"""),"")</f>
        <v/>
      </c>
      <c r="Q33" t="str">
        <f ca="1">IFERROR(__xludf.DUMMYFUNCTION("""COMPUTED_VALUE"""),"")</f>
        <v/>
      </c>
      <c r="R33" t="str">
        <f ca="1">IFERROR(__xludf.DUMMYFUNCTION("""COMPUTED_VALUE"""),"")</f>
        <v/>
      </c>
      <c r="S33" t="str">
        <f ca="1">IFERROR(__xludf.DUMMYFUNCTION("""COMPUTED_VALUE"""),"")</f>
        <v/>
      </c>
      <c r="T33" t="str">
        <f ca="1">IFERROR(__xludf.DUMMYFUNCTION("""COMPUTED_VALUE"""),"")</f>
        <v/>
      </c>
      <c r="U33" t="str">
        <f ca="1">IFERROR(__xludf.DUMMYFUNCTION("""COMPUTED_VALUE"""),"")</f>
        <v/>
      </c>
      <c r="V33" t="str">
        <f ca="1">IFERROR(__xludf.DUMMYFUNCTION("""COMPUTED_VALUE"""),"")</f>
        <v/>
      </c>
      <c r="W33" t="str">
        <f ca="1">IFERROR(__xludf.DUMMYFUNCTION("""COMPUTED_VALUE"""),"")</f>
        <v/>
      </c>
      <c r="X33" t="str">
        <f ca="1">IFERROR(__xludf.DUMMYFUNCTION("""COMPUTED_VALUE"""),"")</f>
        <v/>
      </c>
      <c r="Y33" t="str">
        <f ca="1">IFERROR(__xludf.DUMMYFUNCTION("""COMPUTED_VALUE"""),"ZŠ (6-15 years)")</f>
        <v>ZŠ (6-15 years)</v>
      </c>
      <c r="Z33" t="b">
        <f ca="1">IFERROR(__xludf.DUMMYFUNCTION("""COMPUTED_VALUE"""),TRUE)</f>
        <v>1</v>
      </c>
      <c r="AA33" t="b">
        <f ca="1">IFERROR(__xludf.DUMMYFUNCTION("""COMPUTED_VALUE"""),FALSE)</f>
        <v>0</v>
      </c>
      <c r="AB33" t="b">
        <f ca="1">IFERROR(__xludf.DUMMYFUNCTION("""COMPUTED_VALUE"""),FALSE)</f>
        <v>0</v>
      </c>
      <c r="AC33" t="b">
        <f ca="1">IFERROR(__xludf.DUMMYFUNCTION("""COMPUTED_VALUE"""),FALSE)</f>
        <v>0</v>
      </c>
      <c r="AD33" t="b">
        <f ca="1">IFERROR(__xludf.DUMMYFUNCTION("""COMPUTED_VALUE"""),FALSE)</f>
        <v>0</v>
      </c>
      <c r="AE33" t="b">
        <f ca="1">IFERROR(__xludf.DUMMYFUNCTION("""COMPUTED_VALUE"""),FALSE)</f>
        <v>0</v>
      </c>
      <c r="AF33" t="b">
        <f ca="1">IFERROR(__xludf.DUMMYFUNCTION("""COMPUTED_VALUE"""),FALSE)</f>
        <v>0</v>
      </c>
      <c r="AG33" t="str">
        <f ca="1">IFERROR(__xludf.DUMMYFUNCTION("""COMPUTED_VALUE"""),"Čára (line follower)")</f>
        <v>Čára (line follower)</v>
      </c>
    </row>
    <row r="34" spans="1:33" ht="13.2">
      <c r="A34">
        <f ca="1">IFERROR(__xludf.DUMMYFUNCTION("""COMPUTED_VALUE"""),32)</f>
        <v>32</v>
      </c>
      <c r="B34" t="str">
        <f ca="1">IFERROR(__xludf.DUMMYFUNCTION("""COMPUTED_VALUE"""),"Adamov")</f>
        <v>Adamov</v>
      </c>
      <c r="C34" t="str">
        <f ca="1">IFERROR(__xludf.DUMMYFUNCTION("""COMPUTED_VALUE"""),"rodinný tým")</f>
        <v>rodinný tým</v>
      </c>
      <c r="D34" t="str">
        <f ca="1">IFERROR(__xludf.DUMMYFUNCTION("""COMPUTED_VALUE"""),"AdaBots")</f>
        <v>AdaBots</v>
      </c>
      <c r="E34" s="158">
        <f ca="1">IFERROR(__xludf.DUMMYFUNCTION("""COMPUTED_VALUE"""),0.409027777777777)</f>
        <v>0.40902777777777699</v>
      </c>
      <c r="F34" t="str">
        <f ca="1">IFERROR(__xludf.DUMMYFUNCTION("""COMPUTED_VALUE"""),"B")</f>
        <v>B</v>
      </c>
      <c r="G34" s="158">
        <f ca="1">IFERROR(__xludf.DUMMYFUNCTION("""COMPUTED_VALUE"""),0.479166666666666)</f>
        <v>0.47916666666666602</v>
      </c>
      <c r="H34" t="str">
        <f ca="1">IFERROR(__xludf.DUMMYFUNCTION("""COMPUTED_VALUE"""),"B")</f>
        <v>B</v>
      </c>
      <c r="I34" s="158">
        <f ca="1">IFERROR(__xludf.DUMMYFUNCTION("""COMPUTED_VALUE"""),0.554166666666666)</f>
        <v>0.55416666666666603</v>
      </c>
      <c r="J34" t="str">
        <f ca="1">IFERROR(__xludf.DUMMYFUNCTION("""COMPUTED_VALUE"""),"B")</f>
        <v>B</v>
      </c>
      <c r="K34" t="str">
        <f ca="1">IFERROR(__xludf.DUMMYFUNCTION("""COMPUTED_VALUE"""),"")</f>
        <v/>
      </c>
      <c r="L34" t="str">
        <f ca="1">IFERROR(__xludf.DUMMYFUNCTION("""COMPUTED_VALUE"""),"")</f>
        <v/>
      </c>
      <c r="M34" t="str">
        <f ca="1">IFERROR(__xludf.DUMMYFUNCTION("""COMPUTED_VALUE"""),"")</f>
        <v/>
      </c>
      <c r="N34" t="str">
        <f ca="1">IFERROR(__xludf.DUMMYFUNCTION("""COMPUTED_VALUE"""),"")</f>
        <v/>
      </c>
      <c r="O34" s="158">
        <f ca="1">IFERROR(__xludf.DUMMYFUNCTION("""COMPUTED_VALUE"""),0.481944444444444)</f>
        <v>0.48194444444444401</v>
      </c>
      <c r="P34" t="str">
        <f ca="1">IFERROR(__xludf.DUMMYFUNCTION("""COMPUTED_VALUE"""),"A")</f>
        <v>A</v>
      </c>
      <c r="Q34" t="str">
        <f ca="1">IFERROR(__xludf.DUMMYFUNCTION("""COMPUTED_VALUE"""),"")</f>
        <v/>
      </c>
      <c r="R34" t="str">
        <f ca="1">IFERROR(__xludf.DUMMYFUNCTION("""COMPUTED_VALUE"""),"")</f>
        <v/>
      </c>
      <c r="S34" t="str">
        <f ca="1">IFERROR(__xludf.DUMMYFUNCTION("""COMPUTED_VALUE"""),"")</f>
        <v/>
      </c>
      <c r="T34" t="str">
        <f ca="1">IFERROR(__xludf.DUMMYFUNCTION("""COMPUTED_VALUE"""),"")</f>
        <v/>
      </c>
      <c r="U34" t="str">
        <f ca="1">IFERROR(__xludf.DUMMYFUNCTION("""COMPUTED_VALUE"""),"")</f>
        <v/>
      </c>
      <c r="V34" t="str">
        <f ca="1">IFERROR(__xludf.DUMMYFUNCTION("""COMPUTED_VALUE"""),"")</f>
        <v/>
      </c>
      <c r="W34" t="str">
        <f ca="1">IFERROR(__xludf.DUMMYFUNCTION("""COMPUTED_VALUE"""),"")</f>
        <v/>
      </c>
      <c r="X34" t="str">
        <f ca="1">IFERROR(__xludf.DUMMYFUNCTION("""COMPUTED_VALUE"""),"")</f>
        <v/>
      </c>
      <c r="Y34" t="str">
        <f ca="1">IFERROR(__xludf.DUMMYFUNCTION("""COMPUTED_VALUE"""),"ZŠ")</f>
        <v>ZŠ</v>
      </c>
      <c r="Z34" t="b">
        <f ca="1">IFERROR(__xludf.DUMMYFUNCTION("""COMPUTED_VALUE"""),TRUE)</f>
        <v>1</v>
      </c>
      <c r="AA34" t="b">
        <f ca="1">IFERROR(__xludf.DUMMYFUNCTION("""COMPUTED_VALUE"""),FALSE)</f>
        <v>0</v>
      </c>
      <c r="AB34" t="b">
        <f ca="1">IFERROR(__xludf.DUMMYFUNCTION("""COMPUTED_VALUE"""),TRUE)</f>
        <v>1</v>
      </c>
      <c r="AC34" t="b">
        <f ca="1">IFERROR(__xludf.DUMMYFUNCTION("""COMPUTED_VALUE"""),FALSE)</f>
        <v>0</v>
      </c>
      <c r="AD34" t="b">
        <f ca="1">IFERROR(__xludf.DUMMYFUNCTION("""COMPUTED_VALUE"""),FALSE)</f>
        <v>0</v>
      </c>
      <c r="AE34" t="b">
        <f ca="1">IFERROR(__xludf.DUMMYFUNCTION("""COMPUTED_VALUE"""),FALSE)</f>
        <v>0</v>
      </c>
      <c r="AF34" t="b">
        <f ca="1">IFERROR(__xludf.DUMMYFUNCTION("""COMPUTED_VALUE"""),FALSE)</f>
        <v>0</v>
      </c>
      <c r="AG34" t="str">
        <f ca="1">IFERROR(__xludf.DUMMYFUNCTION("""COMPUTED_VALUE"""),"Čára (line follower), Dálkový medvěd (bear rescue)")</f>
        <v>Čára (line follower), Dálkový medvěd (bear rescue)</v>
      </c>
    </row>
    <row r="35" spans="1:33" ht="13.2">
      <c r="A35">
        <f ca="1">IFERROR(__xludf.DUMMYFUNCTION("""COMPUTED_VALUE"""),34)</f>
        <v>34</v>
      </c>
      <c r="B35" t="str">
        <f ca="1">IFERROR(__xludf.DUMMYFUNCTION("""COMPUTED_VALUE"""),"Kyjev (UA)")</f>
        <v>Kyjev (UA)</v>
      </c>
      <c r="C35" t="str">
        <f ca="1">IFERROR(__xludf.DUMMYFUNCTION("""COMPUTED_VALUE"""),"STEM-school Inventor Kyjev (UA)")</f>
        <v>STEM-school Inventor Kyjev (UA)</v>
      </c>
      <c r="D35" t="str">
        <f ca="1">IFERROR(__xludf.DUMMYFUNCTION("""COMPUTED_VALUE"""),"GLIGOR")</f>
        <v>GLIGOR</v>
      </c>
      <c r="E35" s="158">
        <f ca="1">IFERROR(__xludf.DUMMYFUNCTION("""COMPUTED_VALUE"""),0.410416666666666)</f>
        <v>0.41041666666666599</v>
      </c>
      <c r="F35" t="str">
        <f ca="1">IFERROR(__xludf.DUMMYFUNCTION("""COMPUTED_VALUE"""),"B")</f>
        <v>B</v>
      </c>
      <c r="G35" s="158">
        <f ca="1">IFERROR(__xludf.DUMMYFUNCTION("""COMPUTED_VALUE"""),0.480555555555555)</f>
        <v>0.48055555555555501</v>
      </c>
      <c r="H35" t="str">
        <f ca="1">IFERROR(__xludf.DUMMYFUNCTION("""COMPUTED_VALUE"""),"B")</f>
        <v>B</v>
      </c>
      <c r="I35" s="158">
        <f ca="1">IFERROR(__xludf.DUMMYFUNCTION("""COMPUTED_VALUE"""),0.555555555555555)</f>
        <v>0.55555555555555503</v>
      </c>
      <c r="J35" t="str">
        <f ca="1">IFERROR(__xludf.DUMMYFUNCTION("""COMPUTED_VALUE"""),"B")</f>
        <v>B</v>
      </c>
      <c r="K35" s="158">
        <f ca="1">IFERROR(__xludf.DUMMYFUNCTION("""COMPUTED_VALUE"""),0.436805555555555)</f>
        <v>0.436805555555555</v>
      </c>
      <c r="L35" t="str">
        <f ca="1">IFERROR(__xludf.DUMMYFUNCTION("""COMPUTED_VALUE"""),"B")</f>
        <v>B</v>
      </c>
      <c r="M35" s="158">
        <f ca="1">IFERROR(__xludf.DUMMYFUNCTION("""COMPUTED_VALUE"""),0.527083333333333)</f>
        <v>0.52708333333333302</v>
      </c>
      <c r="N35" t="str">
        <f ca="1">IFERROR(__xludf.DUMMYFUNCTION("""COMPUTED_VALUE"""),"B")</f>
        <v>B</v>
      </c>
      <c r="O35" t="str">
        <f ca="1">IFERROR(__xludf.DUMMYFUNCTION("""COMPUTED_VALUE"""),"")</f>
        <v/>
      </c>
      <c r="P35" t="str">
        <f ca="1">IFERROR(__xludf.DUMMYFUNCTION("""COMPUTED_VALUE"""),"")</f>
        <v/>
      </c>
      <c r="Q35" s="158">
        <f ca="1">IFERROR(__xludf.DUMMYFUNCTION("""COMPUTED_VALUE"""),0.504861111111111)</f>
        <v>0.50486111111111098</v>
      </c>
      <c r="R35" t="str">
        <f ca="1">IFERROR(__xludf.DUMMYFUNCTION("""COMPUTED_VALUE"""),"B")</f>
        <v>B</v>
      </c>
      <c r="S35" s="158">
        <f ca="1">IFERROR(__xludf.DUMMYFUNCTION("""COMPUTED_VALUE"""),0.543055555555555)</f>
        <v>0.54305555555555496</v>
      </c>
      <c r="T35" t="str">
        <f ca="1">IFERROR(__xludf.DUMMYFUNCTION("""COMPUTED_VALUE"""),"B")</f>
        <v>B</v>
      </c>
      <c r="U35" t="str">
        <f ca="1">IFERROR(__xludf.DUMMYFUNCTION("""COMPUTED_VALUE"""),"")</f>
        <v/>
      </c>
      <c r="V35" t="str">
        <f ca="1">IFERROR(__xludf.DUMMYFUNCTION("""COMPUTED_VALUE"""),"")</f>
        <v/>
      </c>
      <c r="W35" t="str">
        <f ca="1">IFERROR(__xludf.DUMMYFUNCTION("""COMPUTED_VALUE"""),"")</f>
        <v/>
      </c>
      <c r="X35" t="str">
        <f ca="1">IFERROR(__xludf.DUMMYFUNCTION("""COMPUTED_VALUE"""),"")</f>
        <v/>
      </c>
      <c r="Y35" t="str">
        <f ca="1">IFERROR(__xludf.DUMMYFUNCTION("""COMPUTED_VALUE"""),"ZŠ")</f>
        <v>ZŠ</v>
      </c>
      <c r="Z35" t="b">
        <f ca="1">IFERROR(__xludf.DUMMYFUNCTION("""COMPUTED_VALUE"""),TRUE)</f>
        <v>1</v>
      </c>
      <c r="AA35" t="b">
        <f ca="1">IFERROR(__xludf.DUMMYFUNCTION("""COMPUTED_VALUE"""),TRUE)</f>
        <v>1</v>
      </c>
      <c r="AB35" t="b">
        <f ca="1">IFERROR(__xludf.DUMMYFUNCTION("""COMPUTED_VALUE"""),FALSE)</f>
        <v>0</v>
      </c>
      <c r="AC35" t="b">
        <f ca="1">IFERROR(__xludf.DUMMYFUNCTION("""COMPUTED_VALUE"""),TRUE)</f>
        <v>1</v>
      </c>
      <c r="AD35" t="b">
        <f ca="1">IFERROR(__xludf.DUMMYFUNCTION("""COMPUTED_VALUE"""),FALSE)</f>
        <v>0</v>
      </c>
      <c r="AE35" t="b">
        <f ca="1">IFERROR(__xludf.DUMMYFUNCTION("""COMPUTED_VALUE"""),FALSE)</f>
        <v>0</v>
      </c>
      <c r="AF35" t="b">
        <f ca="1">IFERROR(__xludf.DUMMYFUNCTION("""COMPUTED_VALUE"""),FALSE)</f>
        <v>0</v>
      </c>
      <c r="AG35" t="str">
        <f ca="1">IFERROR(__xludf.DUMMYFUNCTION("""COMPUTED_VALUE"""),"Čára (line follower), Autonomní medvěd (bear rescue advance), Sprint - LEGO (drag race - Lego)")</f>
        <v>Čára (line follower), Autonomní medvěd (bear rescue advance), Sprint - LEGO (drag race - Lego)</v>
      </c>
    </row>
    <row r="36" spans="1:33" ht="13.2">
      <c r="A36">
        <f ca="1">IFERROR(__xludf.DUMMYFUNCTION("""COMPUTED_VALUE"""),35)</f>
        <v>35</v>
      </c>
      <c r="B36" t="str">
        <f ca="1">IFERROR(__xludf.DUMMYFUNCTION("""COMPUTED_VALUE"""),"Izhevsk (Rusko)")</f>
        <v>Izhevsk (Rusko)</v>
      </c>
      <c r="C36" t="str">
        <f ca="1">IFERROR(__xludf.DUMMYFUNCTION("""COMPUTED_VALUE"""),"Škola č.35 Iževsk (RU)")</f>
        <v>Škola č.35 Iževsk (RU)</v>
      </c>
      <c r="D36" t="str">
        <f ca="1">IFERROR(__xludf.DUMMYFUNCTION("""COMPUTED_VALUE"""),"Eccentricity")</f>
        <v>Eccentricity</v>
      </c>
      <c r="E36" t="str">
        <f ca="1">IFERROR(__xludf.DUMMYFUNCTION("""COMPUTED_VALUE"""),"---")</f>
        <v>---</v>
      </c>
      <c r="F36" t="str">
        <f ca="1">IFERROR(__xludf.DUMMYFUNCTION("""COMPUTED_VALUE"""),"")</f>
        <v/>
      </c>
      <c r="G36" t="str">
        <f ca="1">IFERROR(__xludf.DUMMYFUNCTION("""COMPUTED_VALUE"""),"---")</f>
        <v>---</v>
      </c>
      <c r="H36" t="str">
        <f ca="1">IFERROR(__xludf.DUMMYFUNCTION("""COMPUTED_VALUE"""),"")</f>
        <v/>
      </c>
      <c r="I36" t="str">
        <f ca="1">IFERROR(__xludf.DUMMYFUNCTION("""COMPUTED_VALUE"""),"---")</f>
        <v>---</v>
      </c>
      <c r="J36" t="str">
        <f ca="1">IFERROR(__xludf.DUMMYFUNCTION("""COMPUTED_VALUE"""),"")</f>
        <v/>
      </c>
      <c r="K36" s="158">
        <f ca="1">IFERROR(__xludf.DUMMYFUNCTION("""COMPUTED_VALUE"""),0.438888888888888)</f>
        <v>0.438888888888888</v>
      </c>
      <c r="L36" t="str">
        <f ca="1">IFERROR(__xludf.DUMMYFUNCTION("""COMPUTED_VALUE"""),"A")</f>
        <v>A</v>
      </c>
      <c r="M36" s="158">
        <f ca="1">IFERROR(__xludf.DUMMYFUNCTION("""COMPUTED_VALUE"""),0.529166666666666)</f>
        <v>0.52916666666666601</v>
      </c>
      <c r="N36" t="str">
        <f ca="1">IFERROR(__xludf.DUMMYFUNCTION("""COMPUTED_VALUE"""),"A")</f>
        <v>A</v>
      </c>
      <c r="O36" t="str">
        <f ca="1">IFERROR(__xludf.DUMMYFUNCTION("""COMPUTED_VALUE"""),"")</f>
        <v/>
      </c>
      <c r="P36" t="str">
        <f ca="1">IFERROR(__xludf.DUMMYFUNCTION("""COMPUTED_VALUE"""),"")</f>
        <v/>
      </c>
      <c r="Q36" s="158">
        <f ca="1">IFERROR(__xludf.DUMMYFUNCTION("""COMPUTED_VALUE"""),0.505555555555555)</f>
        <v>0.50555555555555498</v>
      </c>
      <c r="R36" t="str">
        <f ca="1">IFERROR(__xludf.DUMMYFUNCTION("""COMPUTED_VALUE"""),"A")</f>
        <v>A</v>
      </c>
      <c r="S36" s="158">
        <f ca="1">IFERROR(__xludf.DUMMYFUNCTION("""COMPUTED_VALUE"""),0.54375)</f>
        <v>0.54374999999999996</v>
      </c>
      <c r="T36" t="str">
        <f ca="1">IFERROR(__xludf.DUMMYFUNCTION("""COMPUTED_VALUE"""),"A")</f>
        <v>A</v>
      </c>
      <c r="U36" t="str">
        <f ca="1">IFERROR(__xludf.DUMMYFUNCTION("""COMPUTED_VALUE"""),"")</f>
        <v/>
      </c>
      <c r="V36" t="str">
        <f ca="1">IFERROR(__xludf.DUMMYFUNCTION("""COMPUTED_VALUE"""),"")</f>
        <v/>
      </c>
      <c r="W36" t="str">
        <f ca="1">IFERROR(__xludf.DUMMYFUNCTION("""COMPUTED_VALUE"""),"")</f>
        <v/>
      </c>
      <c r="X36" t="str">
        <f ca="1">IFERROR(__xludf.DUMMYFUNCTION("""COMPUTED_VALUE"""),"")</f>
        <v/>
      </c>
      <c r="Y36" t="str">
        <f ca="1">IFERROR(__xludf.DUMMYFUNCTION("""COMPUTED_VALUE"""),"SŠ (15-19 years)")</f>
        <v>SŠ (15-19 years)</v>
      </c>
      <c r="Z36" s="158" t="b">
        <f ca="1">IFERROR(__xludf.DUMMYFUNCTION("""COMPUTED_VALUE"""),FALSE)</f>
        <v>0</v>
      </c>
      <c r="AA36" t="b">
        <f ca="1">IFERROR(__xludf.DUMMYFUNCTION("""COMPUTED_VALUE"""),TRUE)</f>
        <v>1</v>
      </c>
      <c r="AB36" t="b">
        <f ca="1">IFERROR(__xludf.DUMMYFUNCTION("""COMPUTED_VALUE"""),FALSE)</f>
        <v>0</v>
      </c>
      <c r="AC36" t="b">
        <f ca="1">IFERROR(__xludf.DUMMYFUNCTION("""COMPUTED_VALUE"""),TRUE)</f>
        <v>1</v>
      </c>
      <c r="AD36" t="b">
        <f ca="1">IFERROR(__xludf.DUMMYFUNCTION("""COMPUTED_VALUE"""),FALSE)</f>
        <v>0</v>
      </c>
      <c r="AE36" t="b">
        <f ca="1">IFERROR(__xludf.DUMMYFUNCTION("""COMPUTED_VALUE"""),FALSE)</f>
        <v>0</v>
      </c>
      <c r="AF36" t="b">
        <f ca="1">IFERROR(__xludf.DUMMYFUNCTION("""COMPUTED_VALUE"""),FALSE)</f>
        <v>0</v>
      </c>
      <c r="AG36" t="str">
        <f ca="1">IFERROR(__xludf.DUMMYFUNCTION("""COMPUTED_VALUE"""),"Autonomní medvěd (bear rescue advance), Sprint - LEGO (drag race - Lego)")</f>
        <v>Autonomní medvěd (bear rescue advance), Sprint - LEGO (drag race - Lego)</v>
      </c>
    </row>
    <row r="37" spans="1:33" ht="13.2">
      <c r="A37">
        <f ca="1">IFERROR(__xludf.DUMMYFUNCTION("""COMPUTED_VALUE"""),36)</f>
        <v>36</v>
      </c>
      <c r="B37" t="str">
        <f ca="1">IFERROR(__xludf.DUMMYFUNCTION("""COMPUTED_VALUE"""),"Kuřim")</f>
        <v>Kuřim</v>
      </c>
      <c r="C37" t="str">
        <f ca="1">IFERROR(__xludf.DUMMYFUNCTION("""COMPUTED_VALUE"""),"domácí vzdělávání, kmenová škola ZŠ Deštné v Orlických horách")</f>
        <v>domácí vzdělávání, kmenová škola ZŠ Deštné v Orlických horách</v>
      </c>
      <c r="D37" t="str">
        <f ca="1">IFERROR(__xludf.DUMMYFUNCTION("""COMPUTED_VALUE"""),"Pavlínka")</f>
        <v>Pavlínka</v>
      </c>
      <c r="E37" t="str">
        <f ca="1">IFERROR(__xludf.DUMMYFUNCTION("""COMPUTED_VALUE"""),"---")</f>
        <v>---</v>
      </c>
      <c r="F37" t="str">
        <f ca="1">IFERROR(__xludf.DUMMYFUNCTION("""COMPUTED_VALUE"""),"")</f>
        <v/>
      </c>
      <c r="G37" t="str">
        <f ca="1">IFERROR(__xludf.DUMMYFUNCTION("""COMPUTED_VALUE"""),"---")</f>
        <v>---</v>
      </c>
      <c r="H37" t="str">
        <f ca="1">IFERROR(__xludf.DUMMYFUNCTION("""COMPUTED_VALUE"""),"")</f>
        <v/>
      </c>
      <c r="I37" t="str">
        <f ca="1">IFERROR(__xludf.DUMMYFUNCTION("""COMPUTED_VALUE"""),"---")</f>
        <v>---</v>
      </c>
      <c r="J37" t="str">
        <f ca="1">IFERROR(__xludf.DUMMYFUNCTION("""COMPUTED_VALUE"""),"")</f>
        <v/>
      </c>
      <c r="K37" t="str">
        <f ca="1">IFERROR(__xludf.DUMMYFUNCTION("""COMPUTED_VALUE"""),"")</f>
        <v/>
      </c>
      <c r="L37" t="str">
        <f ca="1">IFERROR(__xludf.DUMMYFUNCTION("""COMPUTED_VALUE"""),"")</f>
        <v/>
      </c>
      <c r="M37" t="str">
        <f ca="1">IFERROR(__xludf.DUMMYFUNCTION("""COMPUTED_VALUE"""),"")</f>
        <v/>
      </c>
      <c r="N37" t="str">
        <f ca="1">IFERROR(__xludf.DUMMYFUNCTION("""COMPUTED_VALUE"""),"")</f>
        <v/>
      </c>
      <c r="O37" t="str">
        <f ca="1">IFERROR(__xludf.DUMMYFUNCTION("""COMPUTED_VALUE"""),"")</f>
        <v/>
      </c>
      <c r="P37" t="str">
        <f ca="1">IFERROR(__xludf.DUMMYFUNCTION("""COMPUTED_VALUE"""),"")</f>
        <v/>
      </c>
      <c r="Q37" t="str">
        <f ca="1">IFERROR(__xludf.DUMMYFUNCTION("""COMPUTED_VALUE"""),"")</f>
        <v/>
      </c>
      <c r="R37" t="str">
        <f ca="1">IFERROR(__xludf.DUMMYFUNCTION("""COMPUTED_VALUE"""),"")</f>
        <v/>
      </c>
      <c r="S37" t="str">
        <f ca="1">IFERROR(__xludf.DUMMYFUNCTION("""COMPUTED_VALUE"""),"")</f>
        <v/>
      </c>
      <c r="T37" t="str">
        <f ca="1">IFERROR(__xludf.DUMMYFUNCTION("""COMPUTED_VALUE"""),"")</f>
        <v/>
      </c>
      <c r="U37" t="str">
        <f ca="1">IFERROR(__xludf.DUMMYFUNCTION("""COMPUTED_VALUE"""),"")</f>
        <v/>
      </c>
      <c r="V37" t="str">
        <f ca="1">IFERROR(__xludf.DUMMYFUNCTION("""COMPUTED_VALUE"""),"")</f>
        <v/>
      </c>
      <c r="W37" t="str">
        <f ca="1">IFERROR(__xludf.DUMMYFUNCTION("""COMPUTED_VALUE"""),"")</f>
        <v/>
      </c>
      <c r="X37" t="str">
        <f ca="1">IFERROR(__xludf.DUMMYFUNCTION("""COMPUTED_VALUE"""),"")</f>
        <v/>
      </c>
      <c r="Y37" t="str">
        <f ca="1">IFERROR(__xludf.DUMMYFUNCTION("""COMPUTED_VALUE"""),"ZŠ")</f>
        <v>ZŠ</v>
      </c>
      <c r="Z37" s="158" t="b">
        <f ca="1">IFERROR(__xludf.DUMMYFUNCTION("""COMPUTED_VALUE"""),FALSE)</f>
        <v>0</v>
      </c>
      <c r="AA37" t="b">
        <f ca="1">IFERROR(__xludf.DUMMYFUNCTION("""COMPUTED_VALUE"""),FALSE)</f>
        <v>0</v>
      </c>
      <c r="AB37" t="b">
        <f ca="1">IFERROR(__xludf.DUMMYFUNCTION("""COMPUTED_VALUE"""),FALSE)</f>
        <v>0</v>
      </c>
      <c r="AC37" t="b">
        <f ca="1">IFERROR(__xludf.DUMMYFUNCTION("""COMPUTED_VALUE"""),FALSE)</f>
        <v>0</v>
      </c>
      <c r="AD37" t="b">
        <f ca="1">IFERROR(__xludf.DUMMYFUNCTION("""COMPUTED_VALUE"""),FALSE)</f>
        <v>0</v>
      </c>
      <c r="AE37" t="b">
        <f ca="1">IFERROR(__xludf.DUMMYFUNCTION("""COMPUTED_VALUE"""),TRUE)</f>
        <v>1</v>
      </c>
      <c r="AF37" t="b">
        <f ca="1">IFERROR(__xludf.DUMMYFUNCTION("""COMPUTED_VALUE"""),FALSE)</f>
        <v>0</v>
      </c>
      <c r="AG37" t="str">
        <f ca="1">IFERROR(__xludf.DUMMYFUNCTION("""COMPUTED_VALUE"""),"Freestyle")</f>
        <v>Freestyle</v>
      </c>
    </row>
    <row r="38" spans="1:33" ht="13.2">
      <c r="A38">
        <f ca="1">IFERROR(__xludf.DUMMYFUNCTION("""COMPUTED_VALUE"""),37)</f>
        <v>37</v>
      </c>
      <c r="B38" t="str">
        <f ca="1">IFERROR(__xludf.DUMMYFUNCTION("""COMPUTED_VALUE"""),"Zábřeh")</f>
        <v>Zábřeh</v>
      </c>
      <c r="C38" t="str">
        <f ca="1">IFERROR(__xludf.DUMMYFUNCTION("""COMPUTED_VALUE"""),"Gymnázium Zábřeh")</f>
        <v>Gymnázium Zábřeh</v>
      </c>
      <c r="D38" t="str">
        <f ca="1">IFERROR(__xludf.DUMMYFUNCTION("""COMPUTED_VALUE"""),"Gyzáci")</f>
        <v>Gyzáci</v>
      </c>
      <c r="E38" s="158">
        <f ca="1">IFERROR(__xludf.DUMMYFUNCTION("""COMPUTED_VALUE"""),0.410416666666666)</f>
        <v>0.41041666666666599</v>
      </c>
      <c r="F38" t="str">
        <f ca="1">IFERROR(__xludf.DUMMYFUNCTION("""COMPUTED_VALUE"""),"A")</f>
        <v>A</v>
      </c>
      <c r="G38" s="158">
        <f ca="1">IFERROR(__xludf.DUMMYFUNCTION("""COMPUTED_VALUE"""),0.480555555555555)</f>
        <v>0.48055555555555501</v>
      </c>
      <c r="H38" t="str">
        <f ca="1">IFERROR(__xludf.DUMMYFUNCTION("""COMPUTED_VALUE"""),"A")</f>
        <v>A</v>
      </c>
      <c r="I38" s="158">
        <f ca="1">IFERROR(__xludf.DUMMYFUNCTION("""COMPUTED_VALUE"""),0.555555555555555)</f>
        <v>0.55555555555555503</v>
      </c>
      <c r="J38" t="str">
        <f ca="1">IFERROR(__xludf.DUMMYFUNCTION("""COMPUTED_VALUE"""),"A")</f>
        <v>A</v>
      </c>
      <c r="K38" t="str">
        <f ca="1">IFERROR(__xludf.DUMMYFUNCTION("""COMPUTED_VALUE"""),"")</f>
        <v/>
      </c>
      <c r="L38" t="str">
        <f ca="1">IFERROR(__xludf.DUMMYFUNCTION("""COMPUTED_VALUE"""),"")</f>
        <v/>
      </c>
      <c r="M38" t="str">
        <f ca="1">IFERROR(__xludf.DUMMYFUNCTION("""COMPUTED_VALUE"""),"")</f>
        <v/>
      </c>
      <c r="N38" t="str">
        <f ca="1">IFERROR(__xludf.DUMMYFUNCTION("""COMPUTED_VALUE"""),"")</f>
        <v/>
      </c>
      <c r="O38" t="str">
        <f ca="1">IFERROR(__xludf.DUMMYFUNCTION("""COMPUTED_VALUE"""),"")</f>
        <v/>
      </c>
      <c r="P38" t="str">
        <f ca="1">IFERROR(__xludf.DUMMYFUNCTION("""COMPUTED_VALUE"""),"")</f>
        <v/>
      </c>
      <c r="Q38" s="158">
        <f ca="1">IFERROR(__xludf.DUMMYFUNCTION("""COMPUTED_VALUE"""),0.505555555555555)</f>
        <v>0.50555555555555498</v>
      </c>
      <c r="R38" t="str">
        <f ca="1">IFERROR(__xludf.DUMMYFUNCTION("""COMPUTED_VALUE"""),"B")</f>
        <v>B</v>
      </c>
      <c r="S38" s="158">
        <f ca="1">IFERROR(__xludf.DUMMYFUNCTION("""COMPUTED_VALUE"""),0.54375)</f>
        <v>0.54374999999999996</v>
      </c>
      <c r="T38" t="str">
        <f ca="1">IFERROR(__xludf.DUMMYFUNCTION("""COMPUTED_VALUE"""),"B")</f>
        <v>B</v>
      </c>
      <c r="U38" t="str">
        <f ca="1">IFERROR(__xludf.DUMMYFUNCTION("""COMPUTED_VALUE"""),"")</f>
        <v/>
      </c>
      <c r="V38" t="str">
        <f ca="1">IFERROR(__xludf.DUMMYFUNCTION("""COMPUTED_VALUE"""),"")</f>
        <v/>
      </c>
      <c r="W38" t="str">
        <f ca="1">IFERROR(__xludf.DUMMYFUNCTION("""COMPUTED_VALUE"""),"")</f>
        <v/>
      </c>
      <c r="X38" t="str">
        <f ca="1">IFERROR(__xludf.DUMMYFUNCTION("""COMPUTED_VALUE"""),"")</f>
        <v/>
      </c>
      <c r="Y38" t="str">
        <f ca="1">IFERROR(__xludf.DUMMYFUNCTION("""COMPUTED_VALUE"""),"SŠ")</f>
        <v>SŠ</v>
      </c>
      <c r="Z38" t="b">
        <f ca="1">IFERROR(__xludf.DUMMYFUNCTION("""COMPUTED_VALUE"""),TRUE)</f>
        <v>1</v>
      </c>
      <c r="AA38" t="b">
        <f ca="1">IFERROR(__xludf.DUMMYFUNCTION("""COMPUTED_VALUE"""),FALSE)</f>
        <v>0</v>
      </c>
      <c r="AB38" t="b">
        <f ca="1">IFERROR(__xludf.DUMMYFUNCTION("""COMPUTED_VALUE"""),FALSE)</f>
        <v>0</v>
      </c>
      <c r="AC38" t="b">
        <f ca="1">IFERROR(__xludf.DUMMYFUNCTION("""COMPUTED_VALUE"""),TRUE)</f>
        <v>1</v>
      </c>
      <c r="AD38" t="b">
        <f ca="1">IFERROR(__xludf.DUMMYFUNCTION("""COMPUTED_VALUE"""),FALSE)</f>
        <v>0</v>
      </c>
      <c r="AE38" t="b">
        <f ca="1">IFERROR(__xludf.DUMMYFUNCTION("""COMPUTED_VALUE"""),FALSE)</f>
        <v>0</v>
      </c>
      <c r="AF38" t="b">
        <f ca="1">IFERROR(__xludf.DUMMYFUNCTION("""COMPUTED_VALUE"""),FALSE)</f>
        <v>0</v>
      </c>
      <c r="AG38" t="str">
        <f ca="1">IFERROR(__xludf.DUMMYFUNCTION("""COMPUTED_VALUE"""),"Čára (line follower), Sprint - LEGO (drag race - Lego)")</f>
        <v>Čára (line follower), Sprint - LEGO (drag race - Lego)</v>
      </c>
    </row>
    <row r="39" spans="1:33" ht="13.2">
      <c r="A39">
        <f ca="1">IFERROR(__xludf.DUMMYFUNCTION("""COMPUTED_VALUE"""),38)</f>
        <v>38</v>
      </c>
      <c r="B39" t="str">
        <f ca="1">IFERROR(__xludf.DUMMYFUNCTION("""COMPUTED_VALUE"""),"Zábřeh")</f>
        <v>Zábřeh</v>
      </c>
      <c r="C39" t="str">
        <f ca="1">IFERROR(__xludf.DUMMYFUNCTION("""COMPUTED_VALUE"""),"Gymnázium Zábřeh")</f>
        <v>Gymnázium Zábřeh</v>
      </c>
      <c r="D39" t="str">
        <f ca="1">IFERROR(__xludf.DUMMYFUNCTION("""COMPUTED_VALUE"""),"JP")</f>
        <v>JP</v>
      </c>
      <c r="E39" s="158">
        <f ca="1">IFERROR(__xludf.DUMMYFUNCTION("""COMPUTED_VALUE"""),0.411805555555555)</f>
        <v>0.41180555555555498</v>
      </c>
      <c r="F39" t="str">
        <f ca="1">IFERROR(__xludf.DUMMYFUNCTION("""COMPUTED_VALUE"""),"B")</f>
        <v>B</v>
      </c>
      <c r="G39" s="158">
        <f ca="1">IFERROR(__xludf.DUMMYFUNCTION("""COMPUTED_VALUE"""),0.481944444444444)</f>
        <v>0.48194444444444401</v>
      </c>
      <c r="H39" t="str">
        <f ca="1">IFERROR(__xludf.DUMMYFUNCTION("""COMPUTED_VALUE"""),"B")</f>
        <v>B</v>
      </c>
      <c r="I39" s="158">
        <f ca="1">IFERROR(__xludf.DUMMYFUNCTION("""COMPUTED_VALUE"""),0.556944444444444)</f>
        <v>0.55694444444444402</v>
      </c>
      <c r="J39" t="str">
        <f ca="1">IFERROR(__xludf.DUMMYFUNCTION("""COMPUTED_VALUE"""),"B")</f>
        <v>B</v>
      </c>
      <c r="K39" t="str">
        <f ca="1">IFERROR(__xludf.DUMMYFUNCTION("""COMPUTED_VALUE"""),"")</f>
        <v/>
      </c>
      <c r="L39" t="str">
        <f ca="1">IFERROR(__xludf.DUMMYFUNCTION("""COMPUTED_VALUE"""),"")</f>
        <v/>
      </c>
      <c r="M39" t="str">
        <f ca="1">IFERROR(__xludf.DUMMYFUNCTION("""COMPUTED_VALUE"""),"")</f>
        <v/>
      </c>
      <c r="N39" t="str">
        <f ca="1">IFERROR(__xludf.DUMMYFUNCTION("""COMPUTED_VALUE"""),"")</f>
        <v/>
      </c>
      <c r="O39" t="str">
        <f ca="1">IFERROR(__xludf.DUMMYFUNCTION("""COMPUTED_VALUE"""),"")</f>
        <v/>
      </c>
      <c r="P39" t="str">
        <f ca="1">IFERROR(__xludf.DUMMYFUNCTION("""COMPUTED_VALUE"""),"")</f>
        <v/>
      </c>
      <c r="Q39" s="158">
        <f ca="1">IFERROR(__xludf.DUMMYFUNCTION("""COMPUTED_VALUE"""),0.50625)</f>
        <v>0.50624999999999998</v>
      </c>
      <c r="R39" t="str">
        <f ca="1">IFERROR(__xludf.DUMMYFUNCTION("""COMPUTED_VALUE"""),"A")</f>
        <v>A</v>
      </c>
      <c r="S39" s="158">
        <f ca="1">IFERROR(__xludf.DUMMYFUNCTION("""COMPUTED_VALUE"""),0.544444444444444)</f>
        <v>0.54444444444444395</v>
      </c>
      <c r="T39" t="str">
        <f ca="1">IFERROR(__xludf.DUMMYFUNCTION("""COMPUTED_VALUE"""),"A")</f>
        <v>A</v>
      </c>
      <c r="U39" t="str">
        <f ca="1">IFERROR(__xludf.DUMMYFUNCTION("""COMPUTED_VALUE"""),"")</f>
        <v/>
      </c>
      <c r="V39" t="str">
        <f ca="1">IFERROR(__xludf.DUMMYFUNCTION("""COMPUTED_VALUE"""),"")</f>
        <v/>
      </c>
      <c r="W39" t="str">
        <f ca="1">IFERROR(__xludf.DUMMYFUNCTION("""COMPUTED_VALUE"""),"")</f>
        <v/>
      </c>
      <c r="X39" t="str">
        <f ca="1">IFERROR(__xludf.DUMMYFUNCTION("""COMPUTED_VALUE"""),"")</f>
        <v/>
      </c>
      <c r="Y39" t="str">
        <f ca="1">IFERROR(__xludf.DUMMYFUNCTION("""COMPUTED_VALUE"""),"ZŠ")</f>
        <v>ZŠ</v>
      </c>
      <c r="Z39" t="b">
        <f ca="1">IFERROR(__xludf.DUMMYFUNCTION("""COMPUTED_VALUE"""),TRUE)</f>
        <v>1</v>
      </c>
      <c r="AA39" t="b">
        <f ca="1">IFERROR(__xludf.DUMMYFUNCTION("""COMPUTED_VALUE"""),FALSE)</f>
        <v>0</v>
      </c>
      <c r="AB39" t="b">
        <f ca="1">IFERROR(__xludf.DUMMYFUNCTION("""COMPUTED_VALUE"""),FALSE)</f>
        <v>0</v>
      </c>
      <c r="AC39" t="b">
        <f ca="1">IFERROR(__xludf.DUMMYFUNCTION("""COMPUTED_VALUE"""),TRUE)</f>
        <v>1</v>
      </c>
      <c r="AD39" t="b">
        <f ca="1">IFERROR(__xludf.DUMMYFUNCTION("""COMPUTED_VALUE"""),FALSE)</f>
        <v>0</v>
      </c>
      <c r="AE39" t="b">
        <f ca="1">IFERROR(__xludf.DUMMYFUNCTION("""COMPUTED_VALUE"""),FALSE)</f>
        <v>0</v>
      </c>
      <c r="AF39" t="b">
        <f ca="1">IFERROR(__xludf.DUMMYFUNCTION("""COMPUTED_VALUE"""),FALSE)</f>
        <v>0</v>
      </c>
      <c r="AG39" t="str">
        <f ca="1">IFERROR(__xludf.DUMMYFUNCTION("""COMPUTED_VALUE"""),"Čára (line follower), Sprint - LEGO (drag race - Lego)")</f>
        <v>Čára (line follower), Sprint - LEGO (drag race - Lego)</v>
      </c>
    </row>
    <row r="40" spans="1:33" ht="13.2">
      <c r="A40">
        <f ca="1">IFERROR(__xludf.DUMMYFUNCTION("""COMPUTED_VALUE"""),39)</f>
        <v>39</v>
      </c>
      <c r="B40" t="str">
        <f ca="1">IFERROR(__xludf.DUMMYFUNCTION("""COMPUTED_VALUE"""),"Zábřeh")</f>
        <v>Zábřeh</v>
      </c>
      <c r="C40" t="str">
        <f ca="1">IFERROR(__xludf.DUMMYFUNCTION("""COMPUTED_VALUE"""),"Gymnázium Zábřeh")</f>
        <v>Gymnázium Zábřeh</v>
      </c>
      <c r="D40" t="str">
        <f ca="1">IFERROR(__xludf.DUMMYFUNCTION("""COMPUTED_VALUE"""),"AZYG")</f>
        <v>AZYG</v>
      </c>
      <c r="E40" s="158">
        <f ca="1">IFERROR(__xludf.DUMMYFUNCTION("""COMPUTED_VALUE"""),0.411805555555555)</f>
        <v>0.41180555555555498</v>
      </c>
      <c r="F40" t="str">
        <f ca="1">IFERROR(__xludf.DUMMYFUNCTION("""COMPUTED_VALUE"""),"A")</f>
        <v>A</v>
      </c>
      <c r="G40" s="158">
        <f ca="1">IFERROR(__xludf.DUMMYFUNCTION("""COMPUTED_VALUE"""),0.481944444444444)</f>
        <v>0.48194444444444401</v>
      </c>
      <c r="H40" t="str">
        <f ca="1">IFERROR(__xludf.DUMMYFUNCTION("""COMPUTED_VALUE"""),"A")</f>
        <v>A</v>
      </c>
      <c r="I40" s="158">
        <f ca="1">IFERROR(__xludf.DUMMYFUNCTION("""COMPUTED_VALUE"""),0.556944444444444)</f>
        <v>0.55694444444444402</v>
      </c>
      <c r="J40" t="str">
        <f ca="1">IFERROR(__xludf.DUMMYFUNCTION("""COMPUTED_VALUE"""),"A")</f>
        <v>A</v>
      </c>
      <c r="K40" s="158">
        <f ca="1">IFERROR(__xludf.DUMMYFUNCTION("""COMPUTED_VALUE"""),0.438888888888888)</f>
        <v>0.438888888888888</v>
      </c>
      <c r="L40" t="str">
        <f ca="1">IFERROR(__xludf.DUMMYFUNCTION("""COMPUTED_VALUE"""),"B")</f>
        <v>B</v>
      </c>
      <c r="M40" s="158">
        <f ca="1">IFERROR(__xludf.DUMMYFUNCTION("""COMPUTED_VALUE"""),0.529166666666666)</f>
        <v>0.52916666666666601</v>
      </c>
      <c r="N40" t="str">
        <f ca="1">IFERROR(__xludf.DUMMYFUNCTION("""COMPUTED_VALUE"""),"B")</f>
        <v>B</v>
      </c>
      <c r="O40" s="158">
        <f ca="1">IFERROR(__xludf.DUMMYFUNCTION("""COMPUTED_VALUE"""),0.481944444444444)</f>
        <v>0.48194444444444401</v>
      </c>
      <c r="P40" t="str">
        <f ca="1">IFERROR(__xludf.DUMMYFUNCTION("""COMPUTED_VALUE"""),"B")</f>
        <v>B</v>
      </c>
      <c r="Q40" s="158">
        <f ca="1">IFERROR(__xludf.DUMMYFUNCTION("""COMPUTED_VALUE"""),0.50625)</f>
        <v>0.50624999999999998</v>
      </c>
      <c r="R40" t="str">
        <f ca="1">IFERROR(__xludf.DUMMYFUNCTION("""COMPUTED_VALUE"""),"B")</f>
        <v>B</v>
      </c>
      <c r="S40" s="158">
        <f ca="1">IFERROR(__xludf.DUMMYFUNCTION("""COMPUTED_VALUE"""),0.544444444444444)</f>
        <v>0.54444444444444395</v>
      </c>
      <c r="T40" t="str">
        <f ca="1">IFERROR(__xludf.DUMMYFUNCTION("""COMPUTED_VALUE"""),"B")</f>
        <v>B</v>
      </c>
      <c r="U40" t="str">
        <f ca="1">IFERROR(__xludf.DUMMYFUNCTION("""COMPUTED_VALUE"""),"")</f>
        <v/>
      </c>
      <c r="V40" t="str">
        <f ca="1">IFERROR(__xludf.DUMMYFUNCTION("""COMPUTED_VALUE"""),"")</f>
        <v/>
      </c>
      <c r="W40" t="str">
        <f ca="1">IFERROR(__xludf.DUMMYFUNCTION("""COMPUTED_VALUE"""),"")</f>
        <v/>
      </c>
      <c r="X40" t="str">
        <f ca="1">IFERROR(__xludf.DUMMYFUNCTION("""COMPUTED_VALUE"""),"")</f>
        <v/>
      </c>
      <c r="Y40" t="str">
        <f ca="1">IFERROR(__xludf.DUMMYFUNCTION("""COMPUTED_VALUE"""),"ZŠ")</f>
        <v>ZŠ</v>
      </c>
      <c r="Z40" t="b">
        <f ca="1">IFERROR(__xludf.DUMMYFUNCTION("""COMPUTED_VALUE"""),TRUE)</f>
        <v>1</v>
      </c>
      <c r="AA40" t="b">
        <f ca="1">IFERROR(__xludf.DUMMYFUNCTION("""COMPUTED_VALUE"""),TRUE)</f>
        <v>1</v>
      </c>
      <c r="AB40" t="b">
        <f ca="1">IFERROR(__xludf.DUMMYFUNCTION("""COMPUTED_VALUE"""),TRUE)</f>
        <v>1</v>
      </c>
      <c r="AC40" t="b">
        <f ca="1">IFERROR(__xludf.DUMMYFUNCTION("""COMPUTED_VALUE"""),TRUE)</f>
        <v>1</v>
      </c>
      <c r="AD40" t="b">
        <f ca="1">IFERROR(__xludf.DUMMYFUNCTION("""COMPUTED_VALUE"""),FALSE)</f>
        <v>0</v>
      </c>
      <c r="AE40" t="b">
        <f ca="1">IFERROR(__xludf.DUMMYFUNCTION("""COMPUTED_VALUE"""),FALSE)</f>
        <v>0</v>
      </c>
      <c r="AF40" t="b">
        <f ca="1">IFERROR(__xludf.DUMMYFUNCTION("""COMPUTED_VALUE"""),FALSE)</f>
        <v>0</v>
      </c>
      <c r="AG40" t="str">
        <f ca="1">IFERROR(__xludf.DUMMYFUNCTION("""COMPUTED_VALUE"""),"Čára (line follower), Dálkový medvěd (bear rescue), Autonomní medvěd (bear rescue advance), Sprint - LEGO (drag race - Lego)")</f>
        <v>Čára (line follower), Dálkový medvěd (bear rescue), Autonomní medvěd (bear rescue advance), Sprint - LEGO (drag race - Lego)</v>
      </c>
    </row>
    <row r="41" spans="1:33" ht="13.2">
      <c r="A41">
        <f ca="1">IFERROR(__xludf.DUMMYFUNCTION("""COMPUTED_VALUE"""),40)</f>
        <v>40</v>
      </c>
      <c r="B41" t="str">
        <f ca="1">IFERROR(__xludf.DUMMYFUNCTION("""COMPUTED_VALUE"""),"Zábřeh")</f>
        <v>Zábřeh</v>
      </c>
      <c r="C41" t="str">
        <f ca="1">IFERROR(__xludf.DUMMYFUNCTION("""COMPUTED_VALUE"""),"Gymnázium Zábřeh")</f>
        <v>Gymnázium Zábřeh</v>
      </c>
      <c r="D41" t="str">
        <f ca="1">IFERROR(__xludf.DUMMYFUNCTION("""COMPUTED_VALUE"""),"Ještě ráno to fungovalo")</f>
        <v>Ještě ráno to fungovalo</v>
      </c>
      <c r="E41" t="str">
        <f ca="1">IFERROR(__xludf.DUMMYFUNCTION("""COMPUTED_VALUE"""),"---")</f>
        <v>---</v>
      </c>
      <c r="F41" t="str">
        <f ca="1">IFERROR(__xludf.DUMMYFUNCTION("""COMPUTED_VALUE"""),"")</f>
        <v/>
      </c>
      <c r="G41" s="158" t="str">
        <f ca="1">IFERROR(__xludf.DUMMYFUNCTION("""COMPUTED_VALUE"""),"---")</f>
        <v>---</v>
      </c>
      <c r="H41" t="str">
        <f ca="1">IFERROR(__xludf.DUMMYFUNCTION("""COMPUTED_VALUE"""),"")</f>
        <v/>
      </c>
      <c r="I41" s="158" t="str">
        <f ca="1">IFERROR(__xludf.DUMMYFUNCTION("""COMPUTED_VALUE"""),"---")</f>
        <v>---</v>
      </c>
      <c r="J41" t="str">
        <f ca="1">IFERROR(__xludf.DUMMYFUNCTION("""COMPUTED_VALUE"""),"")</f>
        <v/>
      </c>
      <c r="K41" s="158">
        <f ca="1">IFERROR(__xludf.DUMMYFUNCTION("""COMPUTED_VALUE"""),0.440972222222222)</f>
        <v>0.44097222222222199</v>
      </c>
      <c r="L41" t="str">
        <f ca="1">IFERROR(__xludf.DUMMYFUNCTION("""COMPUTED_VALUE"""),"A")</f>
        <v>A</v>
      </c>
      <c r="M41" s="158">
        <f ca="1">IFERROR(__xludf.DUMMYFUNCTION("""COMPUTED_VALUE"""),0.53125)</f>
        <v>0.53125</v>
      </c>
      <c r="N41" t="str">
        <f ca="1">IFERROR(__xludf.DUMMYFUNCTION("""COMPUTED_VALUE"""),"A")</f>
        <v>A</v>
      </c>
      <c r="O41" s="158">
        <f ca="1">IFERROR(__xludf.DUMMYFUNCTION("""COMPUTED_VALUE"""),0.483333333333333)</f>
        <v>0.483333333333333</v>
      </c>
      <c r="P41" t="str">
        <f ca="1">IFERROR(__xludf.DUMMYFUNCTION("""COMPUTED_VALUE"""),"A")</f>
        <v>A</v>
      </c>
      <c r="Q41" t="str">
        <f ca="1">IFERROR(__xludf.DUMMYFUNCTION("""COMPUTED_VALUE"""),"")</f>
        <v/>
      </c>
      <c r="R41" t="str">
        <f ca="1">IFERROR(__xludf.DUMMYFUNCTION("""COMPUTED_VALUE"""),"")</f>
        <v/>
      </c>
      <c r="S41" t="str">
        <f ca="1">IFERROR(__xludf.DUMMYFUNCTION("""COMPUTED_VALUE"""),"")</f>
        <v/>
      </c>
      <c r="T41" t="str">
        <f ca="1">IFERROR(__xludf.DUMMYFUNCTION("""COMPUTED_VALUE"""),"")</f>
        <v/>
      </c>
      <c r="U41" t="str">
        <f ca="1">IFERROR(__xludf.DUMMYFUNCTION("""COMPUTED_VALUE"""),"")</f>
        <v/>
      </c>
      <c r="V41" t="str">
        <f ca="1">IFERROR(__xludf.DUMMYFUNCTION("""COMPUTED_VALUE"""),"")</f>
        <v/>
      </c>
      <c r="W41" t="str">
        <f ca="1">IFERROR(__xludf.DUMMYFUNCTION("""COMPUTED_VALUE"""),"")</f>
        <v/>
      </c>
      <c r="X41" t="str">
        <f ca="1">IFERROR(__xludf.DUMMYFUNCTION("""COMPUTED_VALUE"""),"")</f>
        <v/>
      </c>
      <c r="Y41" t="str">
        <f ca="1">IFERROR(__xludf.DUMMYFUNCTION("""COMPUTED_VALUE"""),"ZŠ")</f>
        <v>ZŠ</v>
      </c>
      <c r="Z41" s="158" t="b">
        <f ca="1">IFERROR(__xludf.DUMMYFUNCTION("""COMPUTED_VALUE"""),FALSE)</f>
        <v>0</v>
      </c>
      <c r="AA41" t="b">
        <f ca="1">IFERROR(__xludf.DUMMYFUNCTION("""COMPUTED_VALUE"""),TRUE)</f>
        <v>1</v>
      </c>
      <c r="AB41" t="b">
        <f ca="1">IFERROR(__xludf.DUMMYFUNCTION("""COMPUTED_VALUE"""),TRUE)</f>
        <v>1</v>
      </c>
      <c r="AC41" t="b">
        <f ca="1">IFERROR(__xludf.DUMMYFUNCTION("""COMPUTED_VALUE"""),FALSE)</f>
        <v>0</v>
      </c>
      <c r="AD41" t="b">
        <f ca="1">IFERROR(__xludf.DUMMYFUNCTION("""COMPUTED_VALUE"""),FALSE)</f>
        <v>0</v>
      </c>
      <c r="AE41" t="b">
        <f ca="1">IFERROR(__xludf.DUMMYFUNCTION("""COMPUTED_VALUE"""),FALSE)</f>
        <v>0</v>
      </c>
      <c r="AF41" t="b">
        <f ca="1">IFERROR(__xludf.DUMMYFUNCTION("""COMPUTED_VALUE"""),FALSE)</f>
        <v>0</v>
      </c>
      <c r="AG41" t="str">
        <f ca="1">IFERROR(__xludf.DUMMYFUNCTION("""COMPUTED_VALUE"""),"Dálkový medvěd (bear rescue), Autonomní medvěd (bear rescue advance)")</f>
        <v>Dálkový medvěd (bear rescue), Autonomní medvěd (bear rescue advance)</v>
      </c>
    </row>
    <row r="42" spans="1:33" ht="13.2">
      <c r="A42">
        <f ca="1">IFERROR(__xludf.DUMMYFUNCTION("""COMPUTED_VALUE"""),41)</f>
        <v>41</v>
      </c>
      <c r="B42" t="str">
        <f ca="1">IFERROR(__xludf.DUMMYFUNCTION("""COMPUTED_VALUE"""),"Plzeň")</f>
        <v>Plzeň</v>
      </c>
      <c r="C42" t="str">
        <f ca="1">IFERROR(__xludf.DUMMYFUNCTION("""COMPUTED_VALUE"""),"Masarykova ZŠ Plzeň")</f>
        <v>Masarykova ZŠ Plzeň</v>
      </c>
      <c r="D42" t="str">
        <f ca="1">IFERROR(__xludf.DUMMYFUNCTION("""COMPUTED_VALUE"""),"Modrý Masaryk")</f>
        <v>Modrý Masaryk</v>
      </c>
      <c r="E42" s="158">
        <f ca="1">IFERROR(__xludf.DUMMYFUNCTION("""COMPUTED_VALUE"""),0.413194444444444)</f>
        <v>0.41319444444444398</v>
      </c>
      <c r="F42" t="str">
        <f ca="1">IFERROR(__xludf.DUMMYFUNCTION("""COMPUTED_VALUE"""),"B")</f>
        <v>B</v>
      </c>
      <c r="G42" s="158">
        <f ca="1">IFERROR(__xludf.DUMMYFUNCTION("""COMPUTED_VALUE"""),0.483333333333333)</f>
        <v>0.483333333333333</v>
      </c>
      <c r="H42" t="str">
        <f ca="1">IFERROR(__xludf.DUMMYFUNCTION("""COMPUTED_VALUE"""),"B")</f>
        <v>B</v>
      </c>
      <c r="I42" s="158">
        <f ca="1">IFERROR(__xludf.DUMMYFUNCTION("""COMPUTED_VALUE"""),0.558333333333333)</f>
        <v>0.55833333333333302</v>
      </c>
      <c r="J42" t="str">
        <f ca="1">IFERROR(__xludf.DUMMYFUNCTION("""COMPUTED_VALUE"""),"B")</f>
        <v>B</v>
      </c>
      <c r="K42" t="str">
        <f ca="1">IFERROR(__xludf.DUMMYFUNCTION("""COMPUTED_VALUE"""),"")</f>
        <v/>
      </c>
      <c r="L42" t="str">
        <f ca="1">IFERROR(__xludf.DUMMYFUNCTION("""COMPUTED_VALUE"""),"")</f>
        <v/>
      </c>
      <c r="M42" t="str">
        <f ca="1">IFERROR(__xludf.DUMMYFUNCTION("""COMPUTED_VALUE"""),"")</f>
        <v/>
      </c>
      <c r="N42" t="str">
        <f ca="1">IFERROR(__xludf.DUMMYFUNCTION("""COMPUTED_VALUE"""),"")</f>
        <v/>
      </c>
      <c r="O42" t="str">
        <f ca="1">IFERROR(__xludf.DUMMYFUNCTION("""COMPUTED_VALUE"""),"")</f>
        <v/>
      </c>
      <c r="P42" t="str">
        <f ca="1">IFERROR(__xludf.DUMMYFUNCTION("""COMPUTED_VALUE"""),"")</f>
        <v/>
      </c>
      <c r="Q42" t="str">
        <f ca="1">IFERROR(__xludf.DUMMYFUNCTION("""COMPUTED_VALUE"""),"")</f>
        <v/>
      </c>
      <c r="R42" t="str">
        <f ca="1">IFERROR(__xludf.DUMMYFUNCTION("""COMPUTED_VALUE"""),"")</f>
        <v/>
      </c>
      <c r="S42" t="str">
        <f ca="1">IFERROR(__xludf.DUMMYFUNCTION("""COMPUTED_VALUE"""),"")</f>
        <v/>
      </c>
      <c r="T42" t="str">
        <f ca="1">IFERROR(__xludf.DUMMYFUNCTION("""COMPUTED_VALUE"""),"")</f>
        <v/>
      </c>
      <c r="U42" t="str">
        <f ca="1">IFERROR(__xludf.DUMMYFUNCTION("""COMPUTED_VALUE"""),"")</f>
        <v/>
      </c>
      <c r="V42" t="str">
        <f ca="1">IFERROR(__xludf.DUMMYFUNCTION("""COMPUTED_VALUE"""),"")</f>
        <v/>
      </c>
      <c r="W42" t="str">
        <f ca="1">IFERROR(__xludf.DUMMYFUNCTION("""COMPUTED_VALUE"""),"")</f>
        <v/>
      </c>
      <c r="X42" t="str">
        <f ca="1">IFERROR(__xludf.DUMMYFUNCTION("""COMPUTED_VALUE"""),"")</f>
        <v/>
      </c>
      <c r="Y42" t="str">
        <f ca="1">IFERROR(__xludf.DUMMYFUNCTION("""COMPUTED_VALUE"""),"ZŠ")</f>
        <v>ZŠ</v>
      </c>
      <c r="Z42" t="b">
        <f ca="1">IFERROR(__xludf.DUMMYFUNCTION("""COMPUTED_VALUE"""),TRUE)</f>
        <v>1</v>
      </c>
      <c r="AA42" t="b">
        <f ca="1">IFERROR(__xludf.DUMMYFUNCTION("""COMPUTED_VALUE"""),FALSE)</f>
        <v>0</v>
      </c>
      <c r="AB42" t="b">
        <f ca="1">IFERROR(__xludf.DUMMYFUNCTION("""COMPUTED_VALUE"""),FALSE)</f>
        <v>0</v>
      </c>
      <c r="AC42" t="b">
        <f ca="1">IFERROR(__xludf.DUMMYFUNCTION("""COMPUTED_VALUE"""),FALSE)</f>
        <v>0</v>
      </c>
      <c r="AD42" t="b">
        <f ca="1">IFERROR(__xludf.DUMMYFUNCTION("""COMPUTED_VALUE"""),FALSE)</f>
        <v>0</v>
      </c>
      <c r="AE42" t="b">
        <f ca="1">IFERROR(__xludf.DUMMYFUNCTION("""COMPUTED_VALUE"""),TRUE)</f>
        <v>1</v>
      </c>
      <c r="AF42" t="b">
        <f ca="1">IFERROR(__xludf.DUMMYFUNCTION("""COMPUTED_VALUE"""),FALSE)</f>
        <v>0</v>
      </c>
      <c r="AG42" t="str">
        <f ca="1">IFERROR(__xludf.DUMMYFUNCTION("""COMPUTED_VALUE"""),"Čára (line follower), Freestyle")</f>
        <v>Čára (line follower), Freestyle</v>
      </c>
    </row>
    <row r="43" spans="1:33" ht="13.2">
      <c r="A43">
        <f ca="1">IFERROR(__xludf.DUMMYFUNCTION("""COMPUTED_VALUE"""),42)</f>
        <v>42</v>
      </c>
      <c r="B43" t="str">
        <f ca="1">IFERROR(__xludf.DUMMYFUNCTION("""COMPUTED_VALUE"""),"Plzeň")</f>
        <v>Plzeň</v>
      </c>
      <c r="C43" t="str">
        <f ca="1">IFERROR(__xludf.DUMMYFUNCTION("""COMPUTED_VALUE"""),"Masarykova ZŠ Plzeň")</f>
        <v>Masarykova ZŠ Plzeň</v>
      </c>
      <c r="D43" t="str">
        <f ca="1">IFERROR(__xludf.DUMMYFUNCTION("""COMPUTED_VALUE"""),"Bílý Masaryk")</f>
        <v>Bílý Masaryk</v>
      </c>
      <c r="E43" s="158">
        <f ca="1">IFERROR(__xludf.DUMMYFUNCTION("""COMPUTED_VALUE"""),0.413194444444444)</f>
        <v>0.41319444444444398</v>
      </c>
      <c r="F43" t="str">
        <f ca="1">IFERROR(__xludf.DUMMYFUNCTION("""COMPUTED_VALUE"""),"A")</f>
        <v>A</v>
      </c>
      <c r="G43" s="158">
        <f ca="1">IFERROR(__xludf.DUMMYFUNCTION("""COMPUTED_VALUE"""),0.483333333333333)</f>
        <v>0.483333333333333</v>
      </c>
      <c r="H43" t="str">
        <f ca="1">IFERROR(__xludf.DUMMYFUNCTION("""COMPUTED_VALUE"""),"A")</f>
        <v>A</v>
      </c>
      <c r="I43" s="158">
        <f ca="1">IFERROR(__xludf.DUMMYFUNCTION("""COMPUTED_VALUE"""),0.558333333333333)</f>
        <v>0.55833333333333302</v>
      </c>
      <c r="J43" t="str">
        <f ca="1">IFERROR(__xludf.DUMMYFUNCTION("""COMPUTED_VALUE"""),"A")</f>
        <v>A</v>
      </c>
      <c r="K43" t="str">
        <f ca="1">IFERROR(__xludf.DUMMYFUNCTION("""COMPUTED_VALUE"""),"")</f>
        <v/>
      </c>
      <c r="L43" t="str">
        <f ca="1">IFERROR(__xludf.DUMMYFUNCTION("""COMPUTED_VALUE"""),"")</f>
        <v/>
      </c>
      <c r="M43" t="str">
        <f ca="1">IFERROR(__xludf.DUMMYFUNCTION("""COMPUTED_VALUE"""),"")</f>
        <v/>
      </c>
      <c r="N43" t="str">
        <f ca="1">IFERROR(__xludf.DUMMYFUNCTION("""COMPUTED_VALUE"""),"")</f>
        <v/>
      </c>
      <c r="O43" t="str">
        <f ca="1">IFERROR(__xludf.DUMMYFUNCTION("""COMPUTED_VALUE"""),"")</f>
        <v/>
      </c>
      <c r="P43" t="str">
        <f ca="1">IFERROR(__xludf.DUMMYFUNCTION("""COMPUTED_VALUE"""),"")</f>
        <v/>
      </c>
      <c r="Q43" t="str">
        <f ca="1">IFERROR(__xludf.DUMMYFUNCTION("""COMPUTED_VALUE"""),"")</f>
        <v/>
      </c>
      <c r="R43" t="str">
        <f ca="1">IFERROR(__xludf.DUMMYFUNCTION("""COMPUTED_VALUE"""),"")</f>
        <v/>
      </c>
      <c r="S43" t="str">
        <f ca="1">IFERROR(__xludf.DUMMYFUNCTION("""COMPUTED_VALUE"""),"")</f>
        <v/>
      </c>
      <c r="T43" t="str">
        <f ca="1">IFERROR(__xludf.DUMMYFUNCTION("""COMPUTED_VALUE"""),"")</f>
        <v/>
      </c>
      <c r="U43" t="str">
        <f ca="1">IFERROR(__xludf.DUMMYFUNCTION("""COMPUTED_VALUE"""),"")</f>
        <v/>
      </c>
      <c r="V43" t="str">
        <f ca="1">IFERROR(__xludf.DUMMYFUNCTION("""COMPUTED_VALUE"""),"")</f>
        <v/>
      </c>
      <c r="W43" t="str">
        <f ca="1">IFERROR(__xludf.DUMMYFUNCTION("""COMPUTED_VALUE"""),"")</f>
        <v/>
      </c>
      <c r="X43" t="str">
        <f ca="1">IFERROR(__xludf.DUMMYFUNCTION("""COMPUTED_VALUE"""),"")</f>
        <v/>
      </c>
      <c r="Y43" t="str">
        <f ca="1">IFERROR(__xludf.DUMMYFUNCTION("""COMPUTED_VALUE"""),"ZŠ")</f>
        <v>ZŠ</v>
      </c>
      <c r="Z43" t="b">
        <f ca="1">IFERROR(__xludf.DUMMYFUNCTION("""COMPUTED_VALUE"""),TRUE)</f>
        <v>1</v>
      </c>
      <c r="AA43" t="b">
        <f ca="1">IFERROR(__xludf.DUMMYFUNCTION("""COMPUTED_VALUE"""),FALSE)</f>
        <v>0</v>
      </c>
      <c r="AB43" t="b">
        <f ca="1">IFERROR(__xludf.DUMMYFUNCTION("""COMPUTED_VALUE"""),FALSE)</f>
        <v>0</v>
      </c>
      <c r="AC43" t="b">
        <f ca="1">IFERROR(__xludf.DUMMYFUNCTION("""COMPUTED_VALUE"""),FALSE)</f>
        <v>0</v>
      </c>
      <c r="AD43" t="b">
        <f ca="1">IFERROR(__xludf.DUMMYFUNCTION("""COMPUTED_VALUE"""),FALSE)</f>
        <v>0</v>
      </c>
      <c r="AE43" t="b">
        <f ca="1">IFERROR(__xludf.DUMMYFUNCTION("""COMPUTED_VALUE"""),TRUE)</f>
        <v>1</v>
      </c>
      <c r="AF43" t="b">
        <f ca="1">IFERROR(__xludf.DUMMYFUNCTION("""COMPUTED_VALUE"""),FALSE)</f>
        <v>0</v>
      </c>
      <c r="AG43" t="str">
        <f ca="1">IFERROR(__xludf.DUMMYFUNCTION("""COMPUTED_VALUE"""),"Čára (line follower), Freestyle")</f>
        <v>Čára (line follower), Freestyle</v>
      </c>
    </row>
    <row r="44" spans="1:33" ht="13.2">
      <c r="A44">
        <f ca="1">IFERROR(__xludf.DUMMYFUNCTION("""COMPUTED_VALUE"""),43)</f>
        <v>43</v>
      </c>
      <c r="B44" t="str">
        <f ca="1">IFERROR(__xludf.DUMMYFUNCTION("""COMPUTED_VALUE"""),"Plzeň")</f>
        <v>Plzeň</v>
      </c>
      <c r="C44" t="str">
        <f ca="1">IFERROR(__xludf.DUMMYFUNCTION("""COMPUTED_VALUE"""),"Masarykova ZŠ Plzeň")</f>
        <v>Masarykova ZŠ Plzeň</v>
      </c>
      <c r="D44" t="str">
        <f ca="1">IFERROR(__xludf.DUMMYFUNCTION("""COMPUTED_VALUE"""),"Červený Masaryk")</f>
        <v>Červený Masaryk</v>
      </c>
      <c r="E44" s="158">
        <f ca="1">IFERROR(__xludf.DUMMYFUNCTION("""COMPUTED_VALUE"""),0.414583333333333)</f>
        <v>0.41458333333333303</v>
      </c>
      <c r="F44" t="str">
        <f ca="1">IFERROR(__xludf.DUMMYFUNCTION("""COMPUTED_VALUE"""),"B")</f>
        <v>B</v>
      </c>
      <c r="G44" s="158">
        <f ca="1">IFERROR(__xludf.DUMMYFUNCTION("""COMPUTED_VALUE"""),0.484722222222222)</f>
        <v>0.484722222222222</v>
      </c>
      <c r="H44" t="str">
        <f ca="1">IFERROR(__xludf.DUMMYFUNCTION("""COMPUTED_VALUE"""),"B")</f>
        <v>B</v>
      </c>
      <c r="I44" s="158">
        <f ca="1">IFERROR(__xludf.DUMMYFUNCTION("""COMPUTED_VALUE"""),0.559722222222222)</f>
        <v>0.55972222222222201</v>
      </c>
      <c r="J44" t="str">
        <f ca="1">IFERROR(__xludf.DUMMYFUNCTION("""COMPUTED_VALUE"""),"B")</f>
        <v>B</v>
      </c>
      <c r="K44" t="str">
        <f ca="1">IFERROR(__xludf.DUMMYFUNCTION("""COMPUTED_VALUE"""),"")</f>
        <v/>
      </c>
      <c r="L44" t="str">
        <f ca="1">IFERROR(__xludf.DUMMYFUNCTION("""COMPUTED_VALUE"""),"")</f>
        <v/>
      </c>
      <c r="M44" t="str">
        <f ca="1">IFERROR(__xludf.DUMMYFUNCTION("""COMPUTED_VALUE"""),"")</f>
        <v/>
      </c>
      <c r="N44" t="str">
        <f ca="1">IFERROR(__xludf.DUMMYFUNCTION("""COMPUTED_VALUE"""),"")</f>
        <v/>
      </c>
      <c r="O44" t="str">
        <f ca="1">IFERROR(__xludf.DUMMYFUNCTION("""COMPUTED_VALUE"""),"")</f>
        <v/>
      </c>
      <c r="P44" t="str">
        <f ca="1">IFERROR(__xludf.DUMMYFUNCTION("""COMPUTED_VALUE"""),"")</f>
        <v/>
      </c>
      <c r="Q44" t="str">
        <f ca="1">IFERROR(__xludf.DUMMYFUNCTION("""COMPUTED_VALUE"""),"")</f>
        <v/>
      </c>
      <c r="R44" t="str">
        <f ca="1">IFERROR(__xludf.DUMMYFUNCTION("""COMPUTED_VALUE"""),"")</f>
        <v/>
      </c>
      <c r="S44" t="str">
        <f ca="1">IFERROR(__xludf.DUMMYFUNCTION("""COMPUTED_VALUE"""),"")</f>
        <v/>
      </c>
      <c r="T44" t="str">
        <f ca="1">IFERROR(__xludf.DUMMYFUNCTION("""COMPUTED_VALUE"""),"")</f>
        <v/>
      </c>
      <c r="U44" t="str">
        <f ca="1">IFERROR(__xludf.DUMMYFUNCTION("""COMPUTED_VALUE"""),"")</f>
        <v/>
      </c>
      <c r="V44" t="str">
        <f ca="1">IFERROR(__xludf.DUMMYFUNCTION("""COMPUTED_VALUE"""),"")</f>
        <v/>
      </c>
      <c r="W44" t="str">
        <f ca="1">IFERROR(__xludf.DUMMYFUNCTION("""COMPUTED_VALUE"""),"")</f>
        <v/>
      </c>
      <c r="X44" t="str">
        <f ca="1">IFERROR(__xludf.DUMMYFUNCTION("""COMPUTED_VALUE"""),"")</f>
        <v/>
      </c>
      <c r="Y44" t="str">
        <f ca="1">IFERROR(__xludf.DUMMYFUNCTION("""COMPUTED_VALUE"""),"ZŠ")</f>
        <v>ZŠ</v>
      </c>
      <c r="Z44" t="b">
        <f ca="1">IFERROR(__xludf.DUMMYFUNCTION("""COMPUTED_VALUE"""),TRUE)</f>
        <v>1</v>
      </c>
      <c r="AA44" t="b">
        <f ca="1">IFERROR(__xludf.DUMMYFUNCTION("""COMPUTED_VALUE"""),FALSE)</f>
        <v>0</v>
      </c>
      <c r="AB44" t="b">
        <f ca="1">IFERROR(__xludf.DUMMYFUNCTION("""COMPUTED_VALUE"""),FALSE)</f>
        <v>0</v>
      </c>
      <c r="AC44" t="b">
        <f ca="1">IFERROR(__xludf.DUMMYFUNCTION("""COMPUTED_VALUE"""),FALSE)</f>
        <v>0</v>
      </c>
      <c r="AD44" t="b">
        <f ca="1">IFERROR(__xludf.DUMMYFUNCTION("""COMPUTED_VALUE"""),FALSE)</f>
        <v>0</v>
      </c>
      <c r="AE44" t="b">
        <f ca="1">IFERROR(__xludf.DUMMYFUNCTION("""COMPUTED_VALUE"""),TRUE)</f>
        <v>1</v>
      </c>
      <c r="AF44" t="b">
        <f ca="1">IFERROR(__xludf.DUMMYFUNCTION("""COMPUTED_VALUE"""),FALSE)</f>
        <v>0</v>
      </c>
      <c r="AG44" t="str">
        <f ca="1">IFERROR(__xludf.DUMMYFUNCTION("""COMPUTED_VALUE"""),"Čára (line follower), Freestyle")</f>
        <v>Čára (line follower), Freestyle</v>
      </c>
    </row>
    <row r="45" spans="1:33" ht="13.2">
      <c r="A45">
        <f ca="1">IFERROR(__xludf.DUMMYFUNCTION("""COMPUTED_VALUE"""),44)</f>
        <v>44</v>
      </c>
      <c r="B45" t="str">
        <f ca="1">IFERROR(__xludf.DUMMYFUNCTION("""COMPUTED_VALUE"""),"Kysucké Nové Mesto")</f>
        <v>Kysucké Nové Mesto</v>
      </c>
      <c r="C45" t="str">
        <f ca="1">IFERROR(__xludf.DUMMYFUNCTION("""COMPUTED_VALUE"""),"SPŠ informačných technológií Kysucké Nové Mesto")</f>
        <v>SPŠ informačných technológií Kysucké Nové Mesto</v>
      </c>
      <c r="D45" t="str">
        <f ca="1">IFERROR(__xludf.DUMMYFUNCTION("""COMPUTED_VALUE"""),"Johny boy")</f>
        <v>Johny boy</v>
      </c>
      <c r="E45" t="str">
        <f ca="1">IFERROR(__xludf.DUMMYFUNCTION("""COMPUTED_VALUE"""),"---")</f>
        <v>---</v>
      </c>
      <c r="F45" t="str">
        <f ca="1">IFERROR(__xludf.DUMMYFUNCTION("""COMPUTED_VALUE"""),"")</f>
        <v/>
      </c>
      <c r="G45" t="str">
        <f ca="1">IFERROR(__xludf.DUMMYFUNCTION("""COMPUTED_VALUE"""),"---")</f>
        <v>---</v>
      </c>
      <c r="H45" t="str">
        <f ca="1">IFERROR(__xludf.DUMMYFUNCTION("""COMPUTED_VALUE"""),"")</f>
        <v/>
      </c>
      <c r="I45" t="str">
        <f ca="1">IFERROR(__xludf.DUMMYFUNCTION("""COMPUTED_VALUE"""),"---")</f>
        <v>---</v>
      </c>
      <c r="J45" t="str">
        <f ca="1">IFERROR(__xludf.DUMMYFUNCTION("""COMPUTED_VALUE"""),"")</f>
        <v/>
      </c>
      <c r="K45" t="str">
        <f ca="1">IFERROR(__xludf.DUMMYFUNCTION("""COMPUTED_VALUE"""),"")</f>
        <v/>
      </c>
      <c r="L45" t="str">
        <f ca="1">IFERROR(__xludf.DUMMYFUNCTION("""COMPUTED_VALUE"""),"")</f>
        <v/>
      </c>
      <c r="M45" t="str">
        <f ca="1">IFERROR(__xludf.DUMMYFUNCTION("""COMPUTED_VALUE"""),"")</f>
        <v/>
      </c>
      <c r="N45" t="str">
        <f ca="1">IFERROR(__xludf.DUMMYFUNCTION("""COMPUTED_VALUE"""),"")</f>
        <v/>
      </c>
      <c r="O45" t="str">
        <f ca="1">IFERROR(__xludf.DUMMYFUNCTION("""COMPUTED_VALUE"""),"")</f>
        <v/>
      </c>
      <c r="P45" t="str">
        <f ca="1">IFERROR(__xludf.DUMMYFUNCTION("""COMPUTED_VALUE"""),"")</f>
        <v/>
      </c>
      <c r="Q45" s="158">
        <f ca="1">IFERROR(__xludf.DUMMYFUNCTION("""COMPUTED_VALUE"""),0.506944444444444)</f>
        <v>0.50694444444444398</v>
      </c>
      <c r="R45" t="str">
        <f ca="1">IFERROR(__xludf.DUMMYFUNCTION("""COMPUTED_VALUE"""),"A")</f>
        <v>A</v>
      </c>
      <c r="S45" s="158">
        <f ca="1">IFERROR(__xludf.DUMMYFUNCTION("""COMPUTED_VALUE"""),0.545138888888888)</f>
        <v>0.54513888888888795</v>
      </c>
      <c r="T45" t="str">
        <f ca="1">IFERROR(__xludf.DUMMYFUNCTION("""COMPUTED_VALUE"""),"A")</f>
        <v>A</v>
      </c>
      <c r="U45" t="str">
        <f ca="1">IFERROR(__xludf.DUMMYFUNCTION("""COMPUTED_VALUE"""),"")</f>
        <v/>
      </c>
      <c r="V45" t="str">
        <f ca="1">IFERROR(__xludf.DUMMYFUNCTION("""COMPUTED_VALUE"""),"")</f>
        <v/>
      </c>
      <c r="W45" t="str">
        <f ca="1">IFERROR(__xludf.DUMMYFUNCTION("""COMPUTED_VALUE"""),"")</f>
        <v/>
      </c>
      <c r="X45" t="str">
        <f ca="1">IFERROR(__xludf.DUMMYFUNCTION("""COMPUTED_VALUE"""),"")</f>
        <v/>
      </c>
      <c r="Y45" t="str">
        <f ca="1">IFERROR(__xludf.DUMMYFUNCTION("""COMPUTED_VALUE"""),"SŠ")</f>
        <v>SŠ</v>
      </c>
      <c r="Z45" s="158" t="b">
        <f ca="1">IFERROR(__xludf.DUMMYFUNCTION("""COMPUTED_VALUE"""),FALSE)</f>
        <v>0</v>
      </c>
      <c r="AA45" t="b">
        <f ca="1">IFERROR(__xludf.DUMMYFUNCTION("""COMPUTED_VALUE"""),FALSE)</f>
        <v>0</v>
      </c>
      <c r="AB45" t="b">
        <f ca="1">IFERROR(__xludf.DUMMYFUNCTION("""COMPUTED_VALUE"""),FALSE)</f>
        <v>0</v>
      </c>
      <c r="AC45" t="b">
        <f ca="1">IFERROR(__xludf.DUMMYFUNCTION("""COMPUTED_VALUE"""),TRUE)</f>
        <v>1</v>
      </c>
      <c r="AD45" t="b">
        <f ca="1">IFERROR(__xludf.DUMMYFUNCTION("""COMPUTED_VALUE"""),FALSE)</f>
        <v>0</v>
      </c>
      <c r="AE45" t="b">
        <f ca="1">IFERROR(__xludf.DUMMYFUNCTION("""COMPUTED_VALUE"""),FALSE)</f>
        <v>0</v>
      </c>
      <c r="AF45" t="b">
        <f ca="1">IFERROR(__xludf.DUMMYFUNCTION("""COMPUTED_VALUE"""),FALSE)</f>
        <v>0</v>
      </c>
      <c r="AG45" t="str">
        <f ca="1">IFERROR(__xludf.DUMMYFUNCTION("""COMPUTED_VALUE"""),"Sprint - LEGO (drag race - Lego)")</f>
        <v>Sprint - LEGO (drag race - Lego)</v>
      </c>
    </row>
    <row r="46" spans="1:33" ht="13.2">
      <c r="A46">
        <f ca="1">IFERROR(__xludf.DUMMYFUNCTION("""COMPUTED_VALUE"""),45)</f>
        <v>45</v>
      </c>
      <c r="B46" t="str">
        <f ca="1">IFERROR(__xludf.DUMMYFUNCTION("""COMPUTED_VALUE"""),"Kysucké Nové Mesto")</f>
        <v>Kysucké Nové Mesto</v>
      </c>
      <c r="C46" t="str">
        <f ca="1">IFERROR(__xludf.DUMMYFUNCTION("""COMPUTED_VALUE"""),"SPŠ informačných technológií Kysucké Nové Mesto")</f>
        <v>SPŠ informačných technológií Kysucké Nové Mesto</v>
      </c>
      <c r="D46" t="str">
        <f ca="1">IFERROR(__xludf.DUMMYFUNCTION("""COMPUTED_VALUE"""),"Forest gump")</f>
        <v>Forest gump</v>
      </c>
      <c r="E46" t="str">
        <f ca="1">IFERROR(__xludf.DUMMYFUNCTION("""COMPUTED_VALUE"""),"---")</f>
        <v>---</v>
      </c>
      <c r="F46" t="str">
        <f ca="1">IFERROR(__xludf.DUMMYFUNCTION("""COMPUTED_VALUE"""),"")</f>
        <v/>
      </c>
      <c r="G46" t="str">
        <f ca="1">IFERROR(__xludf.DUMMYFUNCTION("""COMPUTED_VALUE"""),"---")</f>
        <v>---</v>
      </c>
      <c r="H46" t="str">
        <f ca="1">IFERROR(__xludf.DUMMYFUNCTION("""COMPUTED_VALUE"""),"")</f>
        <v/>
      </c>
      <c r="I46" t="str">
        <f ca="1">IFERROR(__xludf.DUMMYFUNCTION("""COMPUTED_VALUE"""),"---")</f>
        <v>---</v>
      </c>
      <c r="J46" t="str">
        <f ca="1">IFERROR(__xludf.DUMMYFUNCTION("""COMPUTED_VALUE"""),"")</f>
        <v/>
      </c>
      <c r="K46" t="str">
        <f ca="1">IFERROR(__xludf.DUMMYFUNCTION("""COMPUTED_VALUE"""),"")</f>
        <v/>
      </c>
      <c r="L46" t="str">
        <f ca="1">IFERROR(__xludf.DUMMYFUNCTION("""COMPUTED_VALUE"""),"")</f>
        <v/>
      </c>
      <c r="M46" t="str">
        <f ca="1">IFERROR(__xludf.DUMMYFUNCTION("""COMPUTED_VALUE"""),"")</f>
        <v/>
      </c>
      <c r="N46" t="str">
        <f ca="1">IFERROR(__xludf.DUMMYFUNCTION("""COMPUTED_VALUE"""),"")</f>
        <v/>
      </c>
      <c r="O46" t="str">
        <f ca="1">IFERROR(__xludf.DUMMYFUNCTION("""COMPUTED_VALUE"""),"")</f>
        <v/>
      </c>
      <c r="P46" t="str">
        <f ca="1">IFERROR(__xludf.DUMMYFUNCTION("""COMPUTED_VALUE"""),"")</f>
        <v/>
      </c>
      <c r="Q46" s="158">
        <f ca="1">IFERROR(__xludf.DUMMYFUNCTION("""COMPUTED_VALUE"""),0.506944444444444)</f>
        <v>0.50694444444444398</v>
      </c>
      <c r="R46" t="str">
        <f ca="1">IFERROR(__xludf.DUMMYFUNCTION("""COMPUTED_VALUE"""),"B")</f>
        <v>B</v>
      </c>
      <c r="S46" s="158">
        <f ca="1">IFERROR(__xludf.DUMMYFUNCTION("""COMPUTED_VALUE"""),0.545138888888888)</f>
        <v>0.54513888888888795</v>
      </c>
      <c r="T46" t="str">
        <f ca="1">IFERROR(__xludf.DUMMYFUNCTION("""COMPUTED_VALUE"""),"B")</f>
        <v>B</v>
      </c>
      <c r="U46" t="str">
        <f ca="1">IFERROR(__xludf.DUMMYFUNCTION("""COMPUTED_VALUE"""),"")</f>
        <v/>
      </c>
      <c r="V46" t="str">
        <f ca="1">IFERROR(__xludf.DUMMYFUNCTION("""COMPUTED_VALUE"""),"")</f>
        <v/>
      </c>
      <c r="W46" t="str">
        <f ca="1">IFERROR(__xludf.DUMMYFUNCTION("""COMPUTED_VALUE"""),"")</f>
        <v/>
      </c>
      <c r="X46" t="str">
        <f ca="1">IFERROR(__xludf.DUMMYFUNCTION("""COMPUTED_VALUE"""),"")</f>
        <v/>
      </c>
      <c r="Y46" t="str">
        <f ca="1">IFERROR(__xludf.DUMMYFUNCTION("""COMPUTED_VALUE"""),"SŠ")</f>
        <v>SŠ</v>
      </c>
      <c r="Z46" s="158" t="b">
        <f ca="1">IFERROR(__xludf.DUMMYFUNCTION("""COMPUTED_VALUE"""),FALSE)</f>
        <v>0</v>
      </c>
      <c r="AA46" t="b">
        <f ca="1">IFERROR(__xludf.DUMMYFUNCTION("""COMPUTED_VALUE"""),FALSE)</f>
        <v>0</v>
      </c>
      <c r="AB46" t="b">
        <f ca="1">IFERROR(__xludf.DUMMYFUNCTION("""COMPUTED_VALUE"""),FALSE)</f>
        <v>0</v>
      </c>
      <c r="AC46" t="b">
        <f ca="1">IFERROR(__xludf.DUMMYFUNCTION("""COMPUTED_VALUE"""),TRUE)</f>
        <v>1</v>
      </c>
      <c r="AD46" t="b">
        <f ca="1">IFERROR(__xludf.DUMMYFUNCTION("""COMPUTED_VALUE"""),FALSE)</f>
        <v>0</v>
      </c>
      <c r="AE46" t="b">
        <f ca="1">IFERROR(__xludf.DUMMYFUNCTION("""COMPUTED_VALUE"""),FALSE)</f>
        <v>0</v>
      </c>
      <c r="AF46" t="b">
        <f ca="1">IFERROR(__xludf.DUMMYFUNCTION("""COMPUTED_VALUE"""),FALSE)</f>
        <v>0</v>
      </c>
      <c r="AG46" t="str">
        <f ca="1">IFERROR(__xludf.DUMMYFUNCTION("""COMPUTED_VALUE"""),"Sprint - LEGO (drag race - Lego)")</f>
        <v>Sprint - LEGO (drag race - Lego)</v>
      </c>
    </row>
    <row r="47" spans="1:33" ht="13.2">
      <c r="A47">
        <f ca="1">IFERROR(__xludf.DUMMYFUNCTION("""COMPUTED_VALUE"""),46)</f>
        <v>46</v>
      </c>
      <c r="B47" t="str">
        <f ca="1">IFERROR(__xludf.DUMMYFUNCTION("""COMPUTED_VALUE"""),"Kysucké Nové Mesto")</f>
        <v>Kysucké Nové Mesto</v>
      </c>
      <c r="C47" t="str">
        <f ca="1">IFERROR(__xludf.DUMMYFUNCTION("""COMPUTED_VALUE"""),"SPŠ informačných technológií Kysucké Nové Mesto")</f>
        <v>SPŠ informačných technológií Kysucké Nové Mesto</v>
      </c>
      <c r="D47" t="str">
        <f ca="1">IFERROR(__xludf.DUMMYFUNCTION("""COMPUTED_VALUE"""),"SPŠ IT 1")</f>
        <v>SPŠ IT 1</v>
      </c>
      <c r="E47" s="158">
        <f ca="1">IFERROR(__xludf.DUMMYFUNCTION("""COMPUTED_VALUE"""),0.414583333333333)</f>
        <v>0.41458333333333303</v>
      </c>
      <c r="F47" t="str">
        <f ca="1">IFERROR(__xludf.DUMMYFUNCTION("""COMPUTED_VALUE"""),"A")</f>
        <v>A</v>
      </c>
      <c r="G47" s="158">
        <f ca="1">IFERROR(__xludf.DUMMYFUNCTION("""COMPUTED_VALUE"""),0.484722222222222)</f>
        <v>0.484722222222222</v>
      </c>
      <c r="H47" t="str">
        <f ca="1">IFERROR(__xludf.DUMMYFUNCTION("""COMPUTED_VALUE"""),"A")</f>
        <v>A</v>
      </c>
      <c r="I47" s="158">
        <f ca="1">IFERROR(__xludf.DUMMYFUNCTION("""COMPUTED_VALUE"""),0.559722222222222)</f>
        <v>0.55972222222222201</v>
      </c>
      <c r="J47" t="str">
        <f ca="1">IFERROR(__xludf.DUMMYFUNCTION("""COMPUTED_VALUE"""),"A")</f>
        <v>A</v>
      </c>
      <c r="K47" t="str">
        <f ca="1">IFERROR(__xludf.DUMMYFUNCTION("""COMPUTED_VALUE"""),"")</f>
        <v/>
      </c>
      <c r="L47" t="str">
        <f ca="1">IFERROR(__xludf.DUMMYFUNCTION("""COMPUTED_VALUE"""),"")</f>
        <v/>
      </c>
      <c r="M47" t="str">
        <f ca="1">IFERROR(__xludf.DUMMYFUNCTION("""COMPUTED_VALUE"""),"")</f>
        <v/>
      </c>
      <c r="N47" t="str">
        <f ca="1">IFERROR(__xludf.DUMMYFUNCTION("""COMPUTED_VALUE"""),"")</f>
        <v/>
      </c>
      <c r="O47" t="str">
        <f ca="1">IFERROR(__xludf.DUMMYFUNCTION("""COMPUTED_VALUE"""),"")</f>
        <v/>
      </c>
      <c r="P47" t="str">
        <f ca="1">IFERROR(__xludf.DUMMYFUNCTION("""COMPUTED_VALUE"""),"")</f>
        <v/>
      </c>
      <c r="Q47" t="str">
        <f ca="1">IFERROR(__xludf.DUMMYFUNCTION("""COMPUTED_VALUE"""),"")</f>
        <v/>
      </c>
      <c r="R47" t="str">
        <f ca="1">IFERROR(__xludf.DUMMYFUNCTION("""COMPUTED_VALUE"""),"")</f>
        <v/>
      </c>
      <c r="S47" t="str">
        <f ca="1">IFERROR(__xludf.DUMMYFUNCTION("""COMPUTED_VALUE"""),"")</f>
        <v/>
      </c>
      <c r="T47" t="str">
        <f ca="1">IFERROR(__xludf.DUMMYFUNCTION("""COMPUTED_VALUE"""),"")</f>
        <v/>
      </c>
      <c r="U47" t="str">
        <f ca="1">IFERROR(__xludf.DUMMYFUNCTION("""COMPUTED_VALUE"""),"")</f>
        <v/>
      </c>
      <c r="V47" t="str">
        <f ca="1">IFERROR(__xludf.DUMMYFUNCTION("""COMPUTED_VALUE"""),"")</f>
        <v/>
      </c>
      <c r="W47" t="str">
        <f ca="1">IFERROR(__xludf.DUMMYFUNCTION("""COMPUTED_VALUE"""),"")</f>
        <v/>
      </c>
      <c r="X47" t="str">
        <f ca="1">IFERROR(__xludf.DUMMYFUNCTION("""COMPUTED_VALUE"""),"")</f>
        <v/>
      </c>
      <c r="Y47" t="str">
        <f ca="1">IFERROR(__xludf.DUMMYFUNCTION("""COMPUTED_VALUE"""),"SŠ")</f>
        <v>SŠ</v>
      </c>
      <c r="Z47" t="b">
        <f ca="1">IFERROR(__xludf.DUMMYFUNCTION("""COMPUTED_VALUE"""),TRUE)</f>
        <v>1</v>
      </c>
      <c r="AA47" t="b">
        <f ca="1">IFERROR(__xludf.DUMMYFUNCTION("""COMPUTED_VALUE"""),FALSE)</f>
        <v>0</v>
      </c>
      <c r="AB47" t="b">
        <f ca="1">IFERROR(__xludf.DUMMYFUNCTION("""COMPUTED_VALUE"""),FALSE)</f>
        <v>0</v>
      </c>
      <c r="AC47" t="b">
        <f ca="1">IFERROR(__xludf.DUMMYFUNCTION("""COMPUTED_VALUE"""),FALSE)</f>
        <v>0</v>
      </c>
      <c r="AD47" t="b">
        <f ca="1">IFERROR(__xludf.DUMMYFUNCTION("""COMPUTED_VALUE"""),FALSE)</f>
        <v>0</v>
      </c>
      <c r="AE47" t="b">
        <f ca="1">IFERROR(__xludf.DUMMYFUNCTION("""COMPUTED_VALUE"""),FALSE)</f>
        <v>0</v>
      </c>
      <c r="AF47" t="b">
        <f ca="1">IFERROR(__xludf.DUMMYFUNCTION("""COMPUTED_VALUE"""),FALSE)</f>
        <v>0</v>
      </c>
      <c r="AG47" t="str">
        <f ca="1">IFERROR(__xludf.DUMMYFUNCTION("""COMPUTED_VALUE"""),"Čára (line follower)")</f>
        <v>Čára (line follower)</v>
      </c>
    </row>
    <row r="48" spans="1:33" ht="13.2">
      <c r="A48">
        <f ca="1">IFERROR(__xludf.DUMMYFUNCTION("""COMPUTED_VALUE"""),47)</f>
        <v>47</v>
      </c>
      <c r="B48" t="str">
        <f ca="1">IFERROR(__xludf.DUMMYFUNCTION("""COMPUTED_VALUE"""),"Kysucké Nové Mesto")</f>
        <v>Kysucké Nové Mesto</v>
      </c>
      <c r="C48" t="str">
        <f ca="1">IFERROR(__xludf.DUMMYFUNCTION("""COMPUTED_VALUE"""),"SPŠ informačných technológií Kysucké Nové Mesto")</f>
        <v>SPŠ informačných technológií Kysucké Nové Mesto</v>
      </c>
      <c r="D48" t="str">
        <f ca="1">IFERROR(__xludf.DUMMYFUNCTION("""COMPUTED_VALUE"""),"SPŠ IT 2")</f>
        <v>SPŠ IT 2</v>
      </c>
      <c r="E48" s="158">
        <f ca="1">IFERROR(__xludf.DUMMYFUNCTION("""COMPUTED_VALUE"""),0.415972222222222)</f>
        <v>0.41597222222222202</v>
      </c>
      <c r="F48" t="str">
        <f ca="1">IFERROR(__xludf.DUMMYFUNCTION("""COMPUTED_VALUE"""),"B")</f>
        <v>B</v>
      </c>
      <c r="G48" s="158">
        <f ca="1">IFERROR(__xludf.DUMMYFUNCTION("""COMPUTED_VALUE"""),0.486111111111111)</f>
        <v>0.48611111111111099</v>
      </c>
      <c r="H48" t="str">
        <f ca="1">IFERROR(__xludf.DUMMYFUNCTION("""COMPUTED_VALUE"""),"B")</f>
        <v>B</v>
      </c>
      <c r="I48" s="158">
        <f ca="1">IFERROR(__xludf.DUMMYFUNCTION("""COMPUTED_VALUE"""),0.561111111111111)</f>
        <v>0.56111111111111101</v>
      </c>
      <c r="J48" t="str">
        <f ca="1">IFERROR(__xludf.DUMMYFUNCTION("""COMPUTED_VALUE"""),"B")</f>
        <v>B</v>
      </c>
      <c r="K48" t="str">
        <f ca="1">IFERROR(__xludf.DUMMYFUNCTION("""COMPUTED_VALUE"""),"")</f>
        <v/>
      </c>
      <c r="L48" t="str">
        <f ca="1">IFERROR(__xludf.DUMMYFUNCTION("""COMPUTED_VALUE"""),"")</f>
        <v/>
      </c>
      <c r="M48" t="str">
        <f ca="1">IFERROR(__xludf.DUMMYFUNCTION("""COMPUTED_VALUE"""),"")</f>
        <v/>
      </c>
      <c r="N48" t="str">
        <f ca="1">IFERROR(__xludf.DUMMYFUNCTION("""COMPUTED_VALUE"""),"")</f>
        <v/>
      </c>
      <c r="O48" t="str">
        <f ca="1">IFERROR(__xludf.DUMMYFUNCTION("""COMPUTED_VALUE"""),"")</f>
        <v/>
      </c>
      <c r="P48" t="str">
        <f ca="1">IFERROR(__xludf.DUMMYFUNCTION("""COMPUTED_VALUE"""),"")</f>
        <v/>
      </c>
      <c r="Q48" t="str">
        <f ca="1">IFERROR(__xludf.DUMMYFUNCTION("""COMPUTED_VALUE"""),"")</f>
        <v/>
      </c>
      <c r="R48" t="str">
        <f ca="1">IFERROR(__xludf.DUMMYFUNCTION("""COMPUTED_VALUE"""),"")</f>
        <v/>
      </c>
      <c r="S48" t="str">
        <f ca="1">IFERROR(__xludf.DUMMYFUNCTION("""COMPUTED_VALUE"""),"")</f>
        <v/>
      </c>
      <c r="T48" t="str">
        <f ca="1">IFERROR(__xludf.DUMMYFUNCTION("""COMPUTED_VALUE"""),"")</f>
        <v/>
      </c>
      <c r="U48" t="str">
        <f ca="1">IFERROR(__xludf.DUMMYFUNCTION("""COMPUTED_VALUE"""),"")</f>
        <v/>
      </c>
      <c r="V48" t="str">
        <f ca="1">IFERROR(__xludf.DUMMYFUNCTION("""COMPUTED_VALUE"""),"")</f>
        <v/>
      </c>
      <c r="W48" t="str">
        <f ca="1">IFERROR(__xludf.DUMMYFUNCTION("""COMPUTED_VALUE"""),"")</f>
        <v/>
      </c>
      <c r="X48" t="str">
        <f ca="1">IFERROR(__xludf.DUMMYFUNCTION("""COMPUTED_VALUE"""),"")</f>
        <v/>
      </c>
      <c r="Y48" t="str">
        <f ca="1">IFERROR(__xludf.DUMMYFUNCTION("""COMPUTED_VALUE"""),"SŠ")</f>
        <v>SŠ</v>
      </c>
      <c r="Z48" t="b">
        <f ca="1">IFERROR(__xludf.DUMMYFUNCTION("""COMPUTED_VALUE"""),TRUE)</f>
        <v>1</v>
      </c>
      <c r="AA48" t="b">
        <f ca="1">IFERROR(__xludf.DUMMYFUNCTION("""COMPUTED_VALUE"""),FALSE)</f>
        <v>0</v>
      </c>
      <c r="AB48" t="b">
        <f ca="1">IFERROR(__xludf.DUMMYFUNCTION("""COMPUTED_VALUE"""),FALSE)</f>
        <v>0</v>
      </c>
      <c r="AC48" t="b">
        <f ca="1">IFERROR(__xludf.DUMMYFUNCTION("""COMPUTED_VALUE"""),FALSE)</f>
        <v>0</v>
      </c>
      <c r="AD48" t="b">
        <f ca="1">IFERROR(__xludf.DUMMYFUNCTION("""COMPUTED_VALUE"""),FALSE)</f>
        <v>0</v>
      </c>
      <c r="AE48" t="b">
        <f ca="1">IFERROR(__xludf.DUMMYFUNCTION("""COMPUTED_VALUE"""),FALSE)</f>
        <v>0</v>
      </c>
      <c r="AF48" t="b">
        <f ca="1">IFERROR(__xludf.DUMMYFUNCTION("""COMPUTED_VALUE"""),FALSE)</f>
        <v>0</v>
      </c>
      <c r="AG48" t="str">
        <f ca="1">IFERROR(__xludf.DUMMYFUNCTION("""COMPUTED_VALUE"""),"Čára (line follower)")</f>
        <v>Čára (line follower)</v>
      </c>
    </row>
    <row r="49" spans="1:33" ht="13.2">
      <c r="A49">
        <f ca="1">IFERROR(__xludf.DUMMYFUNCTION("""COMPUTED_VALUE"""),48)</f>
        <v>48</v>
      </c>
      <c r="B49" t="str">
        <f ca="1">IFERROR(__xludf.DUMMYFUNCTION("""COMPUTED_VALUE"""),"Kysucké Nové Mesto")</f>
        <v>Kysucké Nové Mesto</v>
      </c>
      <c r="C49" t="str">
        <f ca="1">IFERROR(__xludf.DUMMYFUNCTION("""COMPUTED_VALUE"""),"SPŠ informačných technológií Kysucké Nové Mesto")</f>
        <v>SPŠ informačných technológií Kysucké Nové Mesto</v>
      </c>
      <c r="D49" t="str">
        <f ca="1">IFERROR(__xludf.DUMMYFUNCTION("""COMPUTED_VALUE"""),"Old John")</f>
        <v>Old John</v>
      </c>
      <c r="E49" t="str">
        <f ca="1">IFERROR(__xludf.DUMMYFUNCTION("""COMPUTED_VALUE"""),"---")</f>
        <v>---</v>
      </c>
      <c r="F49" t="str">
        <f ca="1">IFERROR(__xludf.DUMMYFUNCTION("""COMPUTED_VALUE"""),"")</f>
        <v/>
      </c>
      <c r="G49" t="str">
        <f ca="1">IFERROR(__xludf.DUMMYFUNCTION("""COMPUTED_VALUE"""),"---")</f>
        <v>---</v>
      </c>
      <c r="H49" t="str">
        <f ca="1">IFERROR(__xludf.DUMMYFUNCTION("""COMPUTED_VALUE"""),"")</f>
        <v/>
      </c>
      <c r="I49" t="str">
        <f ca="1">IFERROR(__xludf.DUMMYFUNCTION("""COMPUTED_VALUE"""),"---")</f>
        <v>---</v>
      </c>
      <c r="J49" t="str">
        <f ca="1">IFERROR(__xludf.DUMMYFUNCTION("""COMPUTED_VALUE"""),"")</f>
        <v/>
      </c>
      <c r="K49" t="str">
        <f ca="1">IFERROR(__xludf.DUMMYFUNCTION("""COMPUTED_VALUE"""),"")</f>
        <v/>
      </c>
      <c r="L49" t="str">
        <f ca="1">IFERROR(__xludf.DUMMYFUNCTION("""COMPUTED_VALUE"""),"")</f>
        <v/>
      </c>
      <c r="M49" t="str">
        <f ca="1">IFERROR(__xludf.DUMMYFUNCTION("""COMPUTED_VALUE"""),"")</f>
        <v/>
      </c>
      <c r="N49" t="str">
        <f ca="1">IFERROR(__xludf.DUMMYFUNCTION("""COMPUTED_VALUE"""),"")</f>
        <v/>
      </c>
      <c r="O49" t="str">
        <f ca="1">IFERROR(__xludf.DUMMYFUNCTION("""COMPUTED_VALUE"""),"")</f>
        <v/>
      </c>
      <c r="P49" t="str">
        <f ca="1">IFERROR(__xludf.DUMMYFUNCTION("""COMPUTED_VALUE"""),"")</f>
        <v/>
      </c>
      <c r="Q49" t="str">
        <f ca="1">IFERROR(__xludf.DUMMYFUNCTION("""COMPUTED_VALUE"""),"")</f>
        <v/>
      </c>
      <c r="R49" t="str">
        <f ca="1">IFERROR(__xludf.DUMMYFUNCTION("""COMPUTED_VALUE"""),"")</f>
        <v/>
      </c>
      <c r="S49" t="str">
        <f ca="1">IFERROR(__xludf.DUMMYFUNCTION("""COMPUTED_VALUE"""),"")</f>
        <v/>
      </c>
      <c r="T49" t="str">
        <f ca="1">IFERROR(__xludf.DUMMYFUNCTION("""COMPUTED_VALUE"""),"")</f>
        <v/>
      </c>
      <c r="U49" s="158">
        <f ca="1">IFERROR(__xludf.DUMMYFUNCTION("""COMPUTED_VALUE"""),0.533333333333333)</f>
        <v>0.53333333333333299</v>
      </c>
      <c r="V49" t="str">
        <f ca="1">IFERROR(__xludf.DUMMYFUNCTION("""COMPUTED_VALUE"""),"A")</f>
        <v>A</v>
      </c>
      <c r="W49" s="158">
        <f ca="1">IFERROR(__xludf.DUMMYFUNCTION("""COMPUTED_VALUE"""),0.571527777777777)</f>
        <v>0.57152777777777697</v>
      </c>
      <c r="X49" t="str">
        <f ca="1">IFERROR(__xludf.DUMMYFUNCTION("""COMPUTED_VALUE"""),"A")</f>
        <v>A</v>
      </c>
      <c r="Y49" t="str">
        <f ca="1">IFERROR(__xludf.DUMMYFUNCTION("""COMPUTED_VALUE"""),"SŠ")</f>
        <v>SŠ</v>
      </c>
      <c r="Z49" s="158" t="b">
        <f ca="1">IFERROR(__xludf.DUMMYFUNCTION("""COMPUTED_VALUE"""),FALSE)</f>
        <v>0</v>
      </c>
      <c r="AA49" t="b">
        <f ca="1">IFERROR(__xludf.DUMMYFUNCTION("""COMPUTED_VALUE"""),FALSE)</f>
        <v>0</v>
      </c>
      <c r="AB49" t="b">
        <f ca="1">IFERROR(__xludf.DUMMYFUNCTION("""COMPUTED_VALUE"""),FALSE)</f>
        <v>0</v>
      </c>
      <c r="AC49" t="b">
        <f ca="1">IFERROR(__xludf.DUMMYFUNCTION("""COMPUTED_VALUE"""),FALSE)</f>
        <v>0</v>
      </c>
      <c r="AD49" t="b">
        <f ca="1">IFERROR(__xludf.DUMMYFUNCTION("""COMPUTED_VALUE"""),TRUE)</f>
        <v>1</v>
      </c>
      <c r="AE49" t="b">
        <f ca="1">IFERROR(__xludf.DUMMYFUNCTION("""COMPUTED_VALUE"""),FALSE)</f>
        <v>0</v>
      </c>
      <c r="AF49" t="b">
        <f ca="1">IFERROR(__xludf.DUMMYFUNCTION("""COMPUTED_VALUE"""),FALSE)</f>
        <v>0</v>
      </c>
      <c r="AG49" t="str">
        <f ca="1">IFERROR(__xludf.DUMMYFUNCTION("""COMPUTED_VALUE"""),"Sprint - NeLEGOvý (drag race - Non Lego)")</f>
        <v>Sprint - NeLEGOvý (drag race - Non Lego)</v>
      </c>
    </row>
    <row r="50" spans="1:33" ht="13.2">
      <c r="A50">
        <f ca="1">IFERROR(__xludf.DUMMYFUNCTION("""COMPUTED_VALUE"""),49)</f>
        <v>49</v>
      </c>
      <c r="B50" t="str">
        <f ca="1">IFERROR(__xludf.DUMMYFUNCTION("""COMPUTED_VALUE"""),"Kysucké Nové Mesto")</f>
        <v>Kysucké Nové Mesto</v>
      </c>
      <c r="C50" t="str">
        <f ca="1">IFERROR(__xludf.DUMMYFUNCTION("""COMPUTED_VALUE"""),"SPŠ informačných technológií Kysucké Nové Mesto")</f>
        <v>SPŠ informačných technológií Kysucké Nové Mesto</v>
      </c>
      <c r="D50" t="str">
        <f ca="1">IFERROR(__xludf.DUMMYFUNCTION("""COMPUTED_VALUE"""),"Medium John")</f>
        <v>Medium John</v>
      </c>
      <c r="E50" t="str">
        <f ca="1">IFERROR(__xludf.DUMMYFUNCTION("""COMPUTED_VALUE"""),"---")</f>
        <v>---</v>
      </c>
      <c r="F50" t="str">
        <f ca="1">IFERROR(__xludf.DUMMYFUNCTION("""COMPUTED_VALUE"""),"")</f>
        <v/>
      </c>
      <c r="G50" t="str">
        <f ca="1">IFERROR(__xludf.DUMMYFUNCTION("""COMPUTED_VALUE"""),"---")</f>
        <v>---</v>
      </c>
      <c r="H50" t="str">
        <f ca="1">IFERROR(__xludf.DUMMYFUNCTION("""COMPUTED_VALUE"""),"")</f>
        <v/>
      </c>
      <c r="I50" t="str">
        <f ca="1">IFERROR(__xludf.DUMMYFUNCTION("""COMPUTED_VALUE"""),"---")</f>
        <v>---</v>
      </c>
      <c r="J50" t="str">
        <f ca="1">IFERROR(__xludf.DUMMYFUNCTION("""COMPUTED_VALUE"""),"")</f>
        <v/>
      </c>
      <c r="K50" t="str">
        <f ca="1">IFERROR(__xludf.DUMMYFUNCTION("""COMPUTED_VALUE"""),"")</f>
        <v/>
      </c>
      <c r="L50" t="str">
        <f ca="1">IFERROR(__xludf.DUMMYFUNCTION("""COMPUTED_VALUE"""),"")</f>
        <v/>
      </c>
      <c r="M50" t="str">
        <f ca="1">IFERROR(__xludf.DUMMYFUNCTION("""COMPUTED_VALUE"""),"")</f>
        <v/>
      </c>
      <c r="N50" t="str">
        <f ca="1">IFERROR(__xludf.DUMMYFUNCTION("""COMPUTED_VALUE"""),"")</f>
        <v/>
      </c>
      <c r="O50" t="str">
        <f ca="1">IFERROR(__xludf.DUMMYFUNCTION("""COMPUTED_VALUE"""),"")</f>
        <v/>
      </c>
      <c r="P50" t="str">
        <f ca="1">IFERROR(__xludf.DUMMYFUNCTION("""COMPUTED_VALUE"""),"")</f>
        <v/>
      </c>
      <c r="Q50" t="str">
        <f ca="1">IFERROR(__xludf.DUMMYFUNCTION("""COMPUTED_VALUE"""),"")</f>
        <v/>
      </c>
      <c r="R50" t="str">
        <f ca="1">IFERROR(__xludf.DUMMYFUNCTION("""COMPUTED_VALUE"""),"")</f>
        <v/>
      </c>
      <c r="S50" t="str">
        <f ca="1">IFERROR(__xludf.DUMMYFUNCTION("""COMPUTED_VALUE"""),"")</f>
        <v/>
      </c>
      <c r="T50" t="str">
        <f ca="1">IFERROR(__xludf.DUMMYFUNCTION("""COMPUTED_VALUE"""),"")</f>
        <v/>
      </c>
      <c r="U50" s="158">
        <f ca="1">IFERROR(__xludf.DUMMYFUNCTION("""COMPUTED_VALUE"""),0.533333333333333)</f>
        <v>0.53333333333333299</v>
      </c>
      <c r="V50" t="str">
        <f ca="1">IFERROR(__xludf.DUMMYFUNCTION("""COMPUTED_VALUE"""),"B")</f>
        <v>B</v>
      </c>
      <c r="W50" s="158">
        <f ca="1">IFERROR(__xludf.DUMMYFUNCTION("""COMPUTED_VALUE"""),0.571527777777777)</f>
        <v>0.57152777777777697</v>
      </c>
      <c r="X50" t="str">
        <f ca="1">IFERROR(__xludf.DUMMYFUNCTION("""COMPUTED_VALUE"""),"B")</f>
        <v>B</v>
      </c>
      <c r="Y50" t="str">
        <f ca="1">IFERROR(__xludf.DUMMYFUNCTION("""COMPUTED_VALUE"""),"SŠ")</f>
        <v>SŠ</v>
      </c>
      <c r="Z50" s="158" t="b">
        <f ca="1">IFERROR(__xludf.DUMMYFUNCTION("""COMPUTED_VALUE"""),FALSE)</f>
        <v>0</v>
      </c>
      <c r="AA50" t="b">
        <f ca="1">IFERROR(__xludf.DUMMYFUNCTION("""COMPUTED_VALUE"""),FALSE)</f>
        <v>0</v>
      </c>
      <c r="AB50" t="b">
        <f ca="1">IFERROR(__xludf.DUMMYFUNCTION("""COMPUTED_VALUE"""),FALSE)</f>
        <v>0</v>
      </c>
      <c r="AC50" t="b">
        <f ca="1">IFERROR(__xludf.DUMMYFUNCTION("""COMPUTED_VALUE"""),FALSE)</f>
        <v>0</v>
      </c>
      <c r="AD50" t="b">
        <f ca="1">IFERROR(__xludf.DUMMYFUNCTION("""COMPUTED_VALUE"""),TRUE)</f>
        <v>1</v>
      </c>
      <c r="AE50" t="b">
        <f ca="1">IFERROR(__xludf.DUMMYFUNCTION("""COMPUTED_VALUE"""),FALSE)</f>
        <v>0</v>
      </c>
      <c r="AF50" t="b">
        <f ca="1">IFERROR(__xludf.DUMMYFUNCTION("""COMPUTED_VALUE"""),FALSE)</f>
        <v>0</v>
      </c>
      <c r="AG50" t="str">
        <f ca="1">IFERROR(__xludf.DUMMYFUNCTION("""COMPUTED_VALUE"""),"Sprint - NeLEGOvý (drag race - Non Lego)")</f>
        <v>Sprint - NeLEGOvý (drag race - Non Lego)</v>
      </c>
    </row>
    <row r="51" spans="1:33" ht="13.2">
      <c r="A51">
        <f ca="1">IFERROR(__xludf.DUMMYFUNCTION("""COMPUTED_VALUE"""),50)</f>
        <v>50</v>
      </c>
      <c r="B51" t="str">
        <f ca="1">IFERROR(__xludf.DUMMYFUNCTION("""COMPUTED_VALUE"""),"Vrchlabí")</f>
        <v>Vrchlabí</v>
      </c>
      <c r="C51" t="str">
        <f ca="1">IFERROR(__xludf.DUMMYFUNCTION("""COMPUTED_VALUE"""),"ZŠ Školní Vrchlabí")</f>
        <v>ZŠ Školní Vrchlabí</v>
      </c>
      <c r="D51" t="str">
        <f ca="1">IFERROR(__xludf.DUMMYFUNCTION("""COMPUTED_VALUE"""),"Lišáci z Vrchlabí")</f>
        <v>Lišáci z Vrchlabí</v>
      </c>
      <c r="E51" s="158">
        <f ca="1">IFERROR(__xludf.DUMMYFUNCTION("""COMPUTED_VALUE"""),0.415972222222222)</f>
        <v>0.41597222222222202</v>
      </c>
      <c r="F51" t="str">
        <f ca="1">IFERROR(__xludf.DUMMYFUNCTION("""COMPUTED_VALUE"""),"A")</f>
        <v>A</v>
      </c>
      <c r="G51" s="158">
        <f ca="1">IFERROR(__xludf.DUMMYFUNCTION("""COMPUTED_VALUE"""),0.486111111111111)</f>
        <v>0.48611111111111099</v>
      </c>
      <c r="H51" t="str">
        <f ca="1">IFERROR(__xludf.DUMMYFUNCTION("""COMPUTED_VALUE"""),"A")</f>
        <v>A</v>
      </c>
      <c r="I51" s="158">
        <f ca="1">IFERROR(__xludf.DUMMYFUNCTION("""COMPUTED_VALUE"""),0.561111111111111)</f>
        <v>0.56111111111111101</v>
      </c>
      <c r="J51" t="str">
        <f ca="1">IFERROR(__xludf.DUMMYFUNCTION("""COMPUTED_VALUE"""),"A")</f>
        <v>A</v>
      </c>
      <c r="K51" t="str">
        <f ca="1">IFERROR(__xludf.DUMMYFUNCTION("""COMPUTED_VALUE"""),"")</f>
        <v/>
      </c>
      <c r="L51" t="str">
        <f ca="1">IFERROR(__xludf.DUMMYFUNCTION("""COMPUTED_VALUE"""),"")</f>
        <v/>
      </c>
      <c r="M51" t="str">
        <f ca="1">IFERROR(__xludf.DUMMYFUNCTION("""COMPUTED_VALUE"""),"")</f>
        <v/>
      </c>
      <c r="N51" t="str">
        <f ca="1">IFERROR(__xludf.DUMMYFUNCTION("""COMPUTED_VALUE"""),"")</f>
        <v/>
      </c>
      <c r="O51" s="158">
        <f ca="1">IFERROR(__xludf.DUMMYFUNCTION("""COMPUTED_VALUE"""),0.483333333333333)</f>
        <v>0.483333333333333</v>
      </c>
      <c r="P51" t="str">
        <f ca="1">IFERROR(__xludf.DUMMYFUNCTION("""COMPUTED_VALUE"""),"B")</f>
        <v>B</v>
      </c>
      <c r="Q51" s="158">
        <f ca="1">IFERROR(__xludf.DUMMYFUNCTION("""COMPUTED_VALUE"""),0.507638888888888)</f>
        <v>0.50763888888888797</v>
      </c>
      <c r="R51" t="str">
        <f ca="1">IFERROR(__xludf.DUMMYFUNCTION("""COMPUTED_VALUE"""),"A")</f>
        <v>A</v>
      </c>
      <c r="S51" s="158">
        <f ca="1">IFERROR(__xludf.DUMMYFUNCTION("""COMPUTED_VALUE"""),0.545833333333333)</f>
        <v>0.54583333333333295</v>
      </c>
      <c r="T51" t="str">
        <f ca="1">IFERROR(__xludf.DUMMYFUNCTION("""COMPUTED_VALUE"""),"A")</f>
        <v>A</v>
      </c>
      <c r="U51" t="str">
        <f ca="1">IFERROR(__xludf.DUMMYFUNCTION("""COMPUTED_VALUE"""),"")</f>
        <v/>
      </c>
      <c r="V51" t="str">
        <f ca="1">IFERROR(__xludf.DUMMYFUNCTION("""COMPUTED_VALUE"""),"")</f>
        <v/>
      </c>
      <c r="W51" t="str">
        <f ca="1">IFERROR(__xludf.DUMMYFUNCTION("""COMPUTED_VALUE"""),"")</f>
        <v/>
      </c>
      <c r="X51" t="str">
        <f ca="1">IFERROR(__xludf.DUMMYFUNCTION("""COMPUTED_VALUE"""),"")</f>
        <v/>
      </c>
      <c r="Y51" t="str">
        <f ca="1">IFERROR(__xludf.DUMMYFUNCTION("""COMPUTED_VALUE"""),"ZŠ")</f>
        <v>ZŠ</v>
      </c>
      <c r="Z51" t="b">
        <f ca="1">IFERROR(__xludf.DUMMYFUNCTION("""COMPUTED_VALUE"""),TRUE)</f>
        <v>1</v>
      </c>
      <c r="AA51" t="b">
        <f ca="1">IFERROR(__xludf.DUMMYFUNCTION("""COMPUTED_VALUE"""),FALSE)</f>
        <v>0</v>
      </c>
      <c r="AB51" t="b">
        <f ca="1">IFERROR(__xludf.DUMMYFUNCTION("""COMPUTED_VALUE"""),TRUE)</f>
        <v>1</v>
      </c>
      <c r="AC51" t="b">
        <f ca="1">IFERROR(__xludf.DUMMYFUNCTION("""COMPUTED_VALUE"""),TRUE)</f>
        <v>1</v>
      </c>
      <c r="AD51" t="b">
        <f ca="1">IFERROR(__xludf.DUMMYFUNCTION("""COMPUTED_VALUE"""),FALSE)</f>
        <v>0</v>
      </c>
      <c r="AE51" t="b">
        <f ca="1">IFERROR(__xludf.DUMMYFUNCTION("""COMPUTED_VALUE"""),TRUE)</f>
        <v>1</v>
      </c>
      <c r="AF51" t="b">
        <f ca="1">IFERROR(__xludf.DUMMYFUNCTION("""COMPUTED_VALUE"""),FALSE)</f>
        <v>0</v>
      </c>
      <c r="AG51" t="str">
        <f ca="1">IFERROR(__xludf.DUMMYFUNCTION("""COMPUTED_VALUE"""),"Čára (line follower), Dálkový medvěd (bear rescue), Sprint - LEGO (drag race - Lego), Freestyle")</f>
        <v>Čára (line follower), Dálkový medvěd (bear rescue), Sprint - LEGO (drag race - Lego), Freestyle</v>
      </c>
    </row>
    <row r="52" spans="1:33" ht="13.2">
      <c r="A52">
        <f ca="1">IFERROR(__xludf.DUMMYFUNCTION("""COMPUTED_VALUE"""),51)</f>
        <v>51</v>
      </c>
      <c r="B52" t="str">
        <f ca="1">IFERROR(__xludf.DUMMYFUNCTION("""COMPUTED_VALUE"""),"Vrchlabí")</f>
        <v>Vrchlabí</v>
      </c>
      <c r="C52" t="str">
        <f ca="1">IFERROR(__xludf.DUMMYFUNCTION("""COMPUTED_VALUE"""),"ZŠ Školní Vrchlabí")</f>
        <v>ZŠ Školní Vrchlabí</v>
      </c>
      <c r="D52" t="str">
        <f ca="1">IFERROR(__xludf.DUMMYFUNCTION("""COMPUTED_VALUE"""),"Elektronky z Vrchlabí")</f>
        <v>Elektronky z Vrchlabí</v>
      </c>
      <c r="E52" s="158">
        <f ca="1">IFERROR(__xludf.DUMMYFUNCTION("""COMPUTED_VALUE"""),0.417361111111111)</f>
        <v>0.41736111111111102</v>
      </c>
      <c r="F52" t="str">
        <f ca="1">IFERROR(__xludf.DUMMYFUNCTION("""COMPUTED_VALUE"""),"B")</f>
        <v>B</v>
      </c>
      <c r="G52" s="158">
        <f ca="1">IFERROR(__xludf.DUMMYFUNCTION("""COMPUTED_VALUE"""),0.4875)</f>
        <v>0.48749999999999999</v>
      </c>
      <c r="H52" t="str">
        <f ca="1">IFERROR(__xludf.DUMMYFUNCTION("""COMPUTED_VALUE"""),"B")</f>
        <v>B</v>
      </c>
      <c r="I52" s="158">
        <f ca="1">IFERROR(__xludf.DUMMYFUNCTION("""COMPUTED_VALUE"""),0.5625)</f>
        <v>0.5625</v>
      </c>
      <c r="J52" t="str">
        <f ca="1">IFERROR(__xludf.DUMMYFUNCTION("""COMPUTED_VALUE"""),"B")</f>
        <v>B</v>
      </c>
      <c r="K52" t="str">
        <f ca="1">IFERROR(__xludf.DUMMYFUNCTION("""COMPUTED_VALUE"""),"")</f>
        <v/>
      </c>
      <c r="L52" t="str">
        <f ca="1">IFERROR(__xludf.DUMMYFUNCTION("""COMPUTED_VALUE"""),"")</f>
        <v/>
      </c>
      <c r="M52" t="str">
        <f ca="1">IFERROR(__xludf.DUMMYFUNCTION("""COMPUTED_VALUE"""),"")</f>
        <v/>
      </c>
      <c r="N52" t="str">
        <f ca="1">IFERROR(__xludf.DUMMYFUNCTION("""COMPUTED_VALUE"""),"")</f>
        <v/>
      </c>
      <c r="O52" s="158">
        <f ca="1">IFERROR(__xludf.DUMMYFUNCTION("""COMPUTED_VALUE"""),0.484722222222222)</f>
        <v>0.484722222222222</v>
      </c>
      <c r="P52" t="str">
        <f ca="1">IFERROR(__xludf.DUMMYFUNCTION("""COMPUTED_VALUE"""),"A")</f>
        <v>A</v>
      </c>
      <c r="Q52" s="158">
        <f ca="1">IFERROR(__xludf.DUMMYFUNCTION("""COMPUTED_VALUE"""),0.507638888888888)</f>
        <v>0.50763888888888797</v>
      </c>
      <c r="R52" t="str">
        <f ca="1">IFERROR(__xludf.DUMMYFUNCTION("""COMPUTED_VALUE"""),"B")</f>
        <v>B</v>
      </c>
      <c r="S52" s="158">
        <f ca="1">IFERROR(__xludf.DUMMYFUNCTION("""COMPUTED_VALUE"""),0.545833333333333)</f>
        <v>0.54583333333333295</v>
      </c>
      <c r="T52" t="str">
        <f ca="1">IFERROR(__xludf.DUMMYFUNCTION("""COMPUTED_VALUE"""),"B")</f>
        <v>B</v>
      </c>
      <c r="U52" t="str">
        <f ca="1">IFERROR(__xludf.DUMMYFUNCTION("""COMPUTED_VALUE"""),"")</f>
        <v/>
      </c>
      <c r="V52" t="str">
        <f ca="1">IFERROR(__xludf.DUMMYFUNCTION("""COMPUTED_VALUE"""),"")</f>
        <v/>
      </c>
      <c r="W52" t="str">
        <f ca="1">IFERROR(__xludf.DUMMYFUNCTION("""COMPUTED_VALUE"""),"")</f>
        <v/>
      </c>
      <c r="X52" t="str">
        <f ca="1">IFERROR(__xludf.DUMMYFUNCTION("""COMPUTED_VALUE"""),"")</f>
        <v/>
      </c>
      <c r="Y52" t="str">
        <f ca="1">IFERROR(__xludf.DUMMYFUNCTION("""COMPUTED_VALUE"""),"ZŠ")</f>
        <v>ZŠ</v>
      </c>
      <c r="Z52" t="b">
        <f ca="1">IFERROR(__xludf.DUMMYFUNCTION("""COMPUTED_VALUE"""),TRUE)</f>
        <v>1</v>
      </c>
      <c r="AA52" t="b">
        <f ca="1">IFERROR(__xludf.DUMMYFUNCTION("""COMPUTED_VALUE"""),FALSE)</f>
        <v>0</v>
      </c>
      <c r="AB52" t="b">
        <f ca="1">IFERROR(__xludf.DUMMYFUNCTION("""COMPUTED_VALUE"""),TRUE)</f>
        <v>1</v>
      </c>
      <c r="AC52" t="b">
        <f ca="1">IFERROR(__xludf.DUMMYFUNCTION("""COMPUTED_VALUE"""),TRUE)</f>
        <v>1</v>
      </c>
      <c r="AD52" t="b">
        <f ca="1">IFERROR(__xludf.DUMMYFUNCTION("""COMPUTED_VALUE"""),FALSE)</f>
        <v>0</v>
      </c>
      <c r="AE52" t="b">
        <f ca="1">IFERROR(__xludf.DUMMYFUNCTION("""COMPUTED_VALUE"""),FALSE)</f>
        <v>0</v>
      </c>
      <c r="AF52" t="b">
        <f ca="1">IFERROR(__xludf.DUMMYFUNCTION("""COMPUTED_VALUE"""),FALSE)</f>
        <v>0</v>
      </c>
      <c r="AG52" t="str">
        <f ca="1">IFERROR(__xludf.DUMMYFUNCTION("""COMPUTED_VALUE"""),"Čára (line follower), Dálkový medvěd (bear rescue), Sprint - LEGO (drag race - Lego), Freestyle")</f>
        <v>Čára (line follower), Dálkový medvěd (bear rescue), Sprint - LEGO (drag race - Lego), Freestyle</v>
      </c>
    </row>
    <row r="53" spans="1:33" ht="13.2">
      <c r="A53">
        <f ca="1">IFERROR(__xludf.DUMMYFUNCTION("""COMPUTED_VALUE"""),52)</f>
        <v>52</v>
      </c>
      <c r="B53" t="str">
        <f ca="1">IFERROR(__xludf.DUMMYFUNCTION("""COMPUTED_VALUE"""),"Hodonín")</f>
        <v>Hodonín</v>
      </c>
      <c r="C53" t="str">
        <f ca="1">IFERROR(__xludf.DUMMYFUNCTION("""COMPUTED_VALUE"""),"ZŠ Vančurova, Hodonín")</f>
        <v>ZŠ Vančurova, Hodonín</v>
      </c>
      <c r="D53" t="str">
        <f ca="1">IFERROR(__xludf.DUMMYFUNCTION("""COMPUTED_VALUE"""),"Sněženky")</f>
        <v>Sněženky</v>
      </c>
      <c r="E53" t="str">
        <f ca="1">IFERROR(__xludf.DUMMYFUNCTION("""COMPUTED_VALUE"""),"---")</f>
        <v>---</v>
      </c>
      <c r="F53" t="str">
        <f ca="1">IFERROR(__xludf.DUMMYFUNCTION("""COMPUTED_VALUE"""),"")</f>
        <v/>
      </c>
      <c r="G53" t="str">
        <f ca="1">IFERROR(__xludf.DUMMYFUNCTION("""COMPUTED_VALUE"""),"---")</f>
        <v>---</v>
      </c>
      <c r="H53" t="str">
        <f ca="1">IFERROR(__xludf.DUMMYFUNCTION("""COMPUTED_VALUE"""),"")</f>
        <v/>
      </c>
      <c r="I53" t="str">
        <f ca="1">IFERROR(__xludf.DUMMYFUNCTION("""COMPUTED_VALUE"""),"---")</f>
        <v>---</v>
      </c>
      <c r="J53" t="str">
        <f ca="1">IFERROR(__xludf.DUMMYFUNCTION("""COMPUTED_VALUE"""),"")</f>
        <v/>
      </c>
      <c r="K53" s="158">
        <f ca="1">IFERROR(__xludf.DUMMYFUNCTION("""COMPUTED_VALUE"""),0.440972222222222)</f>
        <v>0.44097222222222199</v>
      </c>
      <c r="L53" t="str">
        <f ca="1">IFERROR(__xludf.DUMMYFUNCTION("""COMPUTED_VALUE"""),"B")</f>
        <v>B</v>
      </c>
      <c r="M53" s="158">
        <f ca="1">IFERROR(__xludf.DUMMYFUNCTION("""COMPUTED_VALUE"""),0.53125)</f>
        <v>0.53125</v>
      </c>
      <c r="N53" t="str">
        <f ca="1">IFERROR(__xludf.DUMMYFUNCTION("""COMPUTED_VALUE"""),"B")</f>
        <v>B</v>
      </c>
      <c r="O53" t="str">
        <f ca="1">IFERROR(__xludf.DUMMYFUNCTION("""COMPUTED_VALUE"""),"")</f>
        <v/>
      </c>
      <c r="P53" t="str">
        <f ca="1">IFERROR(__xludf.DUMMYFUNCTION("""COMPUTED_VALUE"""),"")</f>
        <v/>
      </c>
      <c r="Q53" t="str">
        <f ca="1">IFERROR(__xludf.DUMMYFUNCTION("""COMPUTED_VALUE"""),"")</f>
        <v/>
      </c>
      <c r="R53" t="str">
        <f ca="1">IFERROR(__xludf.DUMMYFUNCTION("""COMPUTED_VALUE"""),"")</f>
        <v/>
      </c>
      <c r="S53" t="str">
        <f ca="1">IFERROR(__xludf.DUMMYFUNCTION("""COMPUTED_VALUE"""),"")</f>
        <v/>
      </c>
      <c r="T53" t="str">
        <f ca="1">IFERROR(__xludf.DUMMYFUNCTION("""COMPUTED_VALUE"""),"")</f>
        <v/>
      </c>
      <c r="U53" t="str">
        <f ca="1">IFERROR(__xludf.DUMMYFUNCTION("""COMPUTED_VALUE"""),"")</f>
        <v/>
      </c>
      <c r="V53" t="str">
        <f ca="1">IFERROR(__xludf.DUMMYFUNCTION("""COMPUTED_VALUE"""),"")</f>
        <v/>
      </c>
      <c r="W53" t="str">
        <f ca="1">IFERROR(__xludf.DUMMYFUNCTION("""COMPUTED_VALUE"""),"")</f>
        <v/>
      </c>
      <c r="X53" t="str">
        <f ca="1">IFERROR(__xludf.DUMMYFUNCTION("""COMPUTED_VALUE"""),"")</f>
        <v/>
      </c>
      <c r="Y53" t="str">
        <f ca="1">IFERROR(__xludf.DUMMYFUNCTION("""COMPUTED_VALUE"""),"ZŠ")</f>
        <v>ZŠ</v>
      </c>
      <c r="Z53" s="158" t="b">
        <f ca="1">IFERROR(__xludf.DUMMYFUNCTION("""COMPUTED_VALUE"""),FALSE)</f>
        <v>0</v>
      </c>
      <c r="AA53" t="b">
        <f ca="1">IFERROR(__xludf.DUMMYFUNCTION("""COMPUTED_VALUE"""),TRUE)</f>
        <v>1</v>
      </c>
      <c r="AB53" t="b">
        <f ca="1">IFERROR(__xludf.DUMMYFUNCTION("""COMPUTED_VALUE"""),FALSE)</f>
        <v>0</v>
      </c>
      <c r="AC53" t="b">
        <f ca="1">IFERROR(__xludf.DUMMYFUNCTION("""COMPUTED_VALUE"""),FALSE)</f>
        <v>0</v>
      </c>
      <c r="AD53" t="b">
        <f ca="1">IFERROR(__xludf.DUMMYFUNCTION("""COMPUTED_VALUE"""),FALSE)</f>
        <v>0</v>
      </c>
      <c r="AE53" t="b">
        <f ca="1">IFERROR(__xludf.DUMMYFUNCTION("""COMPUTED_VALUE"""),FALSE)</f>
        <v>0</v>
      </c>
      <c r="AF53" t="b">
        <f ca="1">IFERROR(__xludf.DUMMYFUNCTION("""COMPUTED_VALUE"""),FALSE)</f>
        <v>0</v>
      </c>
      <c r="AG53" t="str">
        <f ca="1">IFERROR(__xludf.DUMMYFUNCTION("""COMPUTED_VALUE"""),"Autonomní medvěd (bear rescue advance)")</f>
        <v>Autonomní medvěd (bear rescue advance)</v>
      </c>
    </row>
    <row r="54" spans="1:33" ht="13.2">
      <c r="A54">
        <f ca="1">IFERROR(__xludf.DUMMYFUNCTION("""COMPUTED_VALUE"""),53)</f>
        <v>53</v>
      </c>
      <c r="B54" t="str">
        <f ca="1">IFERROR(__xludf.DUMMYFUNCTION("""COMPUTED_VALUE"""),"Hodonín")</f>
        <v>Hodonín</v>
      </c>
      <c r="C54" t="str">
        <f ca="1">IFERROR(__xludf.DUMMYFUNCTION("""COMPUTED_VALUE"""),"ZŠ Vančurova, Hodonín")</f>
        <v>ZŠ Vančurova, Hodonín</v>
      </c>
      <c r="D54" t="str">
        <f ca="1">IFERROR(__xludf.DUMMYFUNCTION("""COMPUTED_VALUE"""),"J.K.J.")</f>
        <v>J.K.J.</v>
      </c>
      <c r="E54" t="str">
        <f ca="1">IFERROR(__xludf.DUMMYFUNCTION("""COMPUTED_VALUE"""),"---")</f>
        <v>---</v>
      </c>
      <c r="F54" t="str">
        <f ca="1">IFERROR(__xludf.DUMMYFUNCTION("""COMPUTED_VALUE"""),"")</f>
        <v/>
      </c>
      <c r="G54" t="str">
        <f ca="1">IFERROR(__xludf.DUMMYFUNCTION("""COMPUTED_VALUE"""),"---")</f>
        <v>---</v>
      </c>
      <c r="H54" t="str">
        <f ca="1">IFERROR(__xludf.DUMMYFUNCTION("""COMPUTED_VALUE"""),"")</f>
        <v/>
      </c>
      <c r="I54" t="str">
        <f ca="1">IFERROR(__xludf.DUMMYFUNCTION("""COMPUTED_VALUE"""),"---")</f>
        <v>---</v>
      </c>
      <c r="J54" t="str">
        <f ca="1">IFERROR(__xludf.DUMMYFUNCTION("""COMPUTED_VALUE"""),"")</f>
        <v/>
      </c>
      <c r="K54" s="158">
        <f ca="1">IFERROR(__xludf.DUMMYFUNCTION("""COMPUTED_VALUE"""),0.443055555555555)</f>
        <v>0.44305555555555498</v>
      </c>
      <c r="L54" t="str">
        <f ca="1">IFERROR(__xludf.DUMMYFUNCTION("""COMPUTED_VALUE"""),"A")</f>
        <v>A</v>
      </c>
      <c r="M54" s="158">
        <f ca="1">IFERROR(__xludf.DUMMYFUNCTION("""COMPUTED_VALUE"""),0.533333333333333)</f>
        <v>0.53333333333333299</v>
      </c>
      <c r="N54" t="str">
        <f ca="1">IFERROR(__xludf.DUMMYFUNCTION("""COMPUTED_VALUE"""),"A")</f>
        <v>A</v>
      </c>
      <c r="O54" t="str">
        <f ca="1">IFERROR(__xludf.DUMMYFUNCTION("""COMPUTED_VALUE"""),"")</f>
        <v/>
      </c>
      <c r="P54" t="str">
        <f ca="1">IFERROR(__xludf.DUMMYFUNCTION("""COMPUTED_VALUE"""),"")</f>
        <v/>
      </c>
      <c r="Q54" t="str">
        <f ca="1">IFERROR(__xludf.DUMMYFUNCTION("""COMPUTED_VALUE"""),"")</f>
        <v/>
      </c>
      <c r="R54" t="str">
        <f ca="1">IFERROR(__xludf.DUMMYFUNCTION("""COMPUTED_VALUE"""),"")</f>
        <v/>
      </c>
      <c r="S54" t="str">
        <f ca="1">IFERROR(__xludf.DUMMYFUNCTION("""COMPUTED_VALUE"""),"")</f>
        <v/>
      </c>
      <c r="T54" t="str">
        <f ca="1">IFERROR(__xludf.DUMMYFUNCTION("""COMPUTED_VALUE"""),"")</f>
        <v/>
      </c>
      <c r="U54" t="str">
        <f ca="1">IFERROR(__xludf.DUMMYFUNCTION("""COMPUTED_VALUE"""),"")</f>
        <v/>
      </c>
      <c r="V54" t="str">
        <f ca="1">IFERROR(__xludf.DUMMYFUNCTION("""COMPUTED_VALUE"""),"")</f>
        <v/>
      </c>
      <c r="W54" t="str">
        <f ca="1">IFERROR(__xludf.DUMMYFUNCTION("""COMPUTED_VALUE"""),"")</f>
        <v/>
      </c>
      <c r="X54" t="str">
        <f ca="1">IFERROR(__xludf.DUMMYFUNCTION("""COMPUTED_VALUE"""),"")</f>
        <v/>
      </c>
      <c r="Y54" t="str">
        <f ca="1">IFERROR(__xludf.DUMMYFUNCTION("""COMPUTED_VALUE"""),"ZŠ")</f>
        <v>ZŠ</v>
      </c>
      <c r="Z54" s="158" t="b">
        <f ca="1">IFERROR(__xludf.DUMMYFUNCTION("""COMPUTED_VALUE"""),FALSE)</f>
        <v>0</v>
      </c>
      <c r="AA54" t="b">
        <f ca="1">IFERROR(__xludf.DUMMYFUNCTION("""COMPUTED_VALUE"""),TRUE)</f>
        <v>1</v>
      </c>
      <c r="AB54" t="b">
        <f ca="1">IFERROR(__xludf.DUMMYFUNCTION("""COMPUTED_VALUE"""),FALSE)</f>
        <v>0</v>
      </c>
      <c r="AC54" t="b">
        <f ca="1">IFERROR(__xludf.DUMMYFUNCTION("""COMPUTED_VALUE"""),FALSE)</f>
        <v>0</v>
      </c>
      <c r="AD54" t="b">
        <f ca="1">IFERROR(__xludf.DUMMYFUNCTION("""COMPUTED_VALUE"""),FALSE)</f>
        <v>0</v>
      </c>
      <c r="AE54" t="b">
        <f ca="1">IFERROR(__xludf.DUMMYFUNCTION("""COMPUTED_VALUE"""),FALSE)</f>
        <v>0</v>
      </c>
      <c r="AF54" t="b">
        <f ca="1">IFERROR(__xludf.DUMMYFUNCTION("""COMPUTED_VALUE"""),FALSE)</f>
        <v>0</v>
      </c>
      <c r="AG54" t="str">
        <f ca="1">IFERROR(__xludf.DUMMYFUNCTION("""COMPUTED_VALUE"""),"Autonomní medvěd (bear rescue advance)")</f>
        <v>Autonomní medvěd (bear rescue advance)</v>
      </c>
    </row>
    <row r="55" spans="1:33" ht="13.2">
      <c r="A55">
        <f ca="1">IFERROR(__xludf.DUMMYFUNCTION("""COMPUTED_VALUE"""),54)</f>
        <v>54</v>
      </c>
      <c r="B55" t="str">
        <f ca="1">IFERROR(__xludf.DUMMYFUNCTION("""COMPUTED_VALUE"""),"Hodonín")</f>
        <v>Hodonín</v>
      </c>
      <c r="C55" t="str">
        <f ca="1">IFERROR(__xludf.DUMMYFUNCTION("""COMPUTED_VALUE"""),"SŠ průmyslová a umělecká Hodonín")</f>
        <v>SŠ průmyslová a umělecká Hodonín</v>
      </c>
      <c r="D55" t="str">
        <f ca="1">IFERROR(__xludf.DUMMYFUNCTION("""COMPUTED_VALUE"""),"Wonder women")</f>
        <v>Wonder women</v>
      </c>
      <c r="E55" t="str">
        <f ca="1">IFERROR(__xludf.DUMMYFUNCTION("""COMPUTED_VALUE"""),"---")</f>
        <v>---</v>
      </c>
      <c r="F55" t="str">
        <f ca="1">IFERROR(__xludf.DUMMYFUNCTION("""COMPUTED_VALUE"""),"")</f>
        <v/>
      </c>
      <c r="G55" t="str">
        <f ca="1">IFERROR(__xludf.DUMMYFUNCTION("""COMPUTED_VALUE"""),"---")</f>
        <v>---</v>
      </c>
      <c r="H55" t="str">
        <f ca="1">IFERROR(__xludf.DUMMYFUNCTION("""COMPUTED_VALUE"""),"")</f>
        <v/>
      </c>
      <c r="I55" t="str">
        <f ca="1">IFERROR(__xludf.DUMMYFUNCTION("""COMPUTED_VALUE"""),"---")</f>
        <v>---</v>
      </c>
      <c r="J55" t="str">
        <f ca="1">IFERROR(__xludf.DUMMYFUNCTION("""COMPUTED_VALUE"""),"")</f>
        <v/>
      </c>
      <c r="K55" s="158">
        <f ca="1">IFERROR(__xludf.DUMMYFUNCTION("""COMPUTED_VALUE"""),0.443055555555555)</f>
        <v>0.44305555555555498</v>
      </c>
      <c r="L55" t="str">
        <f ca="1">IFERROR(__xludf.DUMMYFUNCTION("""COMPUTED_VALUE"""),"B")</f>
        <v>B</v>
      </c>
      <c r="M55" s="158">
        <f ca="1">IFERROR(__xludf.DUMMYFUNCTION("""COMPUTED_VALUE"""),0.533333333333333)</f>
        <v>0.53333333333333299</v>
      </c>
      <c r="N55" t="str">
        <f ca="1">IFERROR(__xludf.DUMMYFUNCTION("""COMPUTED_VALUE"""),"B")</f>
        <v>B</v>
      </c>
      <c r="O55" t="str">
        <f ca="1">IFERROR(__xludf.DUMMYFUNCTION("""COMPUTED_VALUE"""),"")</f>
        <v/>
      </c>
      <c r="P55" t="str">
        <f ca="1">IFERROR(__xludf.DUMMYFUNCTION("""COMPUTED_VALUE"""),"")</f>
        <v/>
      </c>
      <c r="Q55" t="str">
        <f ca="1">IFERROR(__xludf.DUMMYFUNCTION("""COMPUTED_VALUE"""),"")</f>
        <v/>
      </c>
      <c r="R55" t="str">
        <f ca="1">IFERROR(__xludf.DUMMYFUNCTION("""COMPUTED_VALUE"""),"")</f>
        <v/>
      </c>
      <c r="S55" t="str">
        <f ca="1">IFERROR(__xludf.DUMMYFUNCTION("""COMPUTED_VALUE"""),"")</f>
        <v/>
      </c>
      <c r="T55" t="str">
        <f ca="1">IFERROR(__xludf.DUMMYFUNCTION("""COMPUTED_VALUE"""),"")</f>
        <v/>
      </c>
      <c r="U55" t="str">
        <f ca="1">IFERROR(__xludf.DUMMYFUNCTION("""COMPUTED_VALUE"""),"")</f>
        <v/>
      </c>
      <c r="V55" t="str">
        <f ca="1">IFERROR(__xludf.DUMMYFUNCTION("""COMPUTED_VALUE"""),"")</f>
        <v/>
      </c>
      <c r="W55" t="str">
        <f ca="1">IFERROR(__xludf.DUMMYFUNCTION("""COMPUTED_VALUE"""),"")</f>
        <v/>
      </c>
      <c r="X55" t="str">
        <f ca="1">IFERROR(__xludf.DUMMYFUNCTION("""COMPUTED_VALUE"""),"")</f>
        <v/>
      </c>
      <c r="Y55" t="str">
        <f ca="1">IFERROR(__xludf.DUMMYFUNCTION("""COMPUTED_VALUE"""),"SŠ")</f>
        <v>SŠ</v>
      </c>
      <c r="Z55" s="158" t="b">
        <f ca="1">IFERROR(__xludf.DUMMYFUNCTION("""COMPUTED_VALUE"""),FALSE)</f>
        <v>0</v>
      </c>
      <c r="AA55" t="b">
        <f ca="1">IFERROR(__xludf.DUMMYFUNCTION("""COMPUTED_VALUE"""),TRUE)</f>
        <v>1</v>
      </c>
      <c r="AB55" t="b">
        <f ca="1">IFERROR(__xludf.DUMMYFUNCTION("""COMPUTED_VALUE"""),FALSE)</f>
        <v>0</v>
      </c>
      <c r="AC55" t="b">
        <f ca="1">IFERROR(__xludf.DUMMYFUNCTION("""COMPUTED_VALUE"""),FALSE)</f>
        <v>0</v>
      </c>
      <c r="AD55" t="b">
        <f ca="1">IFERROR(__xludf.DUMMYFUNCTION("""COMPUTED_VALUE"""),FALSE)</f>
        <v>0</v>
      </c>
      <c r="AE55" t="b">
        <f ca="1">IFERROR(__xludf.DUMMYFUNCTION("""COMPUTED_VALUE"""),FALSE)</f>
        <v>0</v>
      </c>
      <c r="AF55" t="b">
        <f ca="1">IFERROR(__xludf.DUMMYFUNCTION("""COMPUTED_VALUE"""),FALSE)</f>
        <v>0</v>
      </c>
      <c r="AG55" t="str">
        <f ca="1">IFERROR(__xludf.DUMMYFUNCTION("""COMPUTED_VALUE"""),"Autonomní medvěd (bear rescue advance)")</f>
        <v>Autonomní medvěd (bear rescue advance)</v>
      </c>
    </row>
    <row r="56" spans="1:33" ht="13.2">
      <c r="A56">
        <f ca="1">IFERROR(__xludf.DUMMYFUNCTION("""COMPUTED_VALUE"""),55)</f>
        <v>55</v>
      </c>
      <c r="B56" t="str">
        <f ca="1">IFERROR(__xludf.DUMMYFUNCTION("""COMPUTED_VALUE"""),"Hodonín")</f>
        <v>Hodonín</v>
      </c>
      <c r="C56" t="str">
        <f ca="1">IFERROR(__xludf.DUMMYFUNCTION("""COMPUTED_VALUE"""),"SŠ průmyslová a umělecká Hodonín")</f>
        <v>SŠ průmyslová a umělecká Hodonín</v>
      </c>
      <c r="D56" t="str">
        <f ca="1">IFERROR(__xludf.DUMMYFUNCTION("""COMPUTED_VALUE"""),"ToJuŠiMa")</f>
        <v>ToJuŠiMa</v>
      </c>
      <c r="E56" s="158">
        <f ca="1">IFERROR(__xludf.DUMMYFUNCTION("""COMPUTED_VALUE"""),0.417361111111111)</f>
        <v>0.41736111111111102</v>
      </c>
      <c r="F56" t="str">
        <f ca="1">IFERROR(__xludf.DUMMYFUNCTION("""COMPUTED_VALUE"""),"A")</f>
        <v>A</v>
      </c>
      <c r="G56" s="158">
        <f ca="1">IFERROR(__xludf.DUMMYFUNCTION("""COMPUTED_VALUE"""),0.4875)</f>
        <v>0.48749999999999999</v>
      </c>
      <c r="H56" t="str">
        <f ca="1">IFERROR(__xludf.DUMMYFUNCTION("""COMPUTED_VALUE"""),"A")</f>
        <v>A</v>
      </c>
      <c r="I56" s="158">
        <f ca="1">IFERROR(__xludf.DUMMYFUNCTION("""COMPUTED_VALUE"""),0.5625)</f>
        <v>0.5625</v>
      </c>
      <c r="J56" t="str">
        <f ca="1">IFERROR(__xludf.DUMMYFUNCTION("""COMPUTED_VALUE"""),"A")</f>
        <v>A</v>
      </c>
      <c r="K56" t="str">
        <f ca="1">IFERROR(__xludf.DUMMYFUNCTION("""COMPUTED_VALUE"""),"")</f>
        <v/>
      </c>
      <c r="L56" t="str">
        <f ca="1">IFERROR(__xludf.DUMMYFUNCTION("""COMPUTED_VALUE"""),"")</f>
        <v/>
      </c>
      <c r="M56" t="str">
        <f ca="1">IFERROR(__xludf.DUMMYFUNCTION("""COMPUTED_VALUE"""),"")</f>
        <v/>
      </c>
      <c r="N56" t="str">
        <f ca="1">IFERROR(__xludf.DUMMYFUNCTION("""COMPUTED_VALUE"""),"")</f>
        <v/>
      </c>
      <c r="O56" t="str">
        <f ca="1">IFERROR(__xludf.DUMMYFUNCTION("""COMPUTED_VALUE"""),"")</f>
        <v/>
      </c>
      <c r="P56" t="str">
        <f ca="1">IFERROR(__xludf.DUMMYFUNCTION("""COMPUTED_VALUE"""),"")</f>
        <v/>
      </c>
      <c r="Q56" t="str">
        <f ca="1">IFERROR(__xludf.DUMMYFUNCTION("""COMPUTED_VALUE"""),"")</f>
        <v/>
      </c>
      <c r="R56" t="str">
        <f ca="1">IFERROR(__xludf.DUMMYFUNCTION("""COMPUTED_VALUE"""),"")</f>
        <v/>
      </c>
      <c r="S56" t="str">
        <f ca="1">IFERROR(__xludf.DUMMYFUNCTION("""COMPUTED_VALUE"""),"")</f>
        <v/>
      </c>
      <c r="T56" t="str">
        <f ca="1">IFERROR(__xludf.DUMMYFUNCTION("""COMPUTED_VALUE"""),"")</f>
        <v/>
      </c>
      <c r="U56" t="str">
        <f ca="1">IFERROR(__xludf.DUMMYFUNCTION("""COMPUTED_VALUE"""),"")</f>
        <v/>
      </c>
      <c r="V56" t="str">
        <f ca="1">IFERROR(__xludf.DUMMYFUNCTION("""COMPUTED_VALUE"""),"")</f>
        <v/>
      </c>
      <c r="W56" t="str">
        <f ca="1">IFERROR(__xludf.DUMMYFUNCTION("""COMPUTED_VALUE"""),"")</f>
        <v/>
      </c>
      <c r="X56" t="str">
        <f ca="1">IFERROR(__xludf.DUMMYFUNCTION("""COMPUTED_VALUE"""),"")</f>
        <v/>
      </c>
      <c r="Y56" t="str">
        <f ca="1">IFERROR(__xludf.DUMMYFUNCTION("""COMPUTED_VALUE"""),"SŠ")</f>
        <v>SŠ</v>
      </c>
      <c r="Z56" t="b">
        <f ca="1">IFERROR(__xludf.DUMMYFUNCTION("""COMPUTED_VALUE"""),TRUE)</f>
        <v>1</v>
      </c>
      <c r="AA56" t="b">
        <f ca="1">IFERROR(__xludf.DUMMYFUNCTION("""COMPUTED_VALUE"""),FALSE)</f>
        <v>0</v>
      </c>
      <c r="AB56" t="b">
        <f ca="1">IFERROR(__xludf.DUMMYFUNCTION("""COMPUTED_VALUE"""),FALSE)</f>
        <v>0</v>
      </c>
      <c r="AC56" t="b">
        <f ca="1">IFERROR(__xludf.DUMMYFUNCTION("""COMPUTED_VALUE"""),FALSE)</f>
        <v>0</v>
      </c>
      <c r="AD56" t="b">
        <f ca="1">IFERROR(__xludf.DUMMYFUNCTION("""COMPUTED_VALUE"""),FALSE)</f>
        <v>0</v>
      </c>
      <c r="AE56" t="b">
        <f ca="1">IFERROR(__xludf.DUMMYFUNCTION("""COMPUTED_VALUE"""),FALSE)</f>
        <v>0</v>
      </c>
      <c r="AF56" t="b">
        <f ca="1">IFERROR(__xludf.DUMMYFUNCTION("""COMPUTED_VALUE"""),FALSE)</f>
        <v>0</v>
      </c>
      <c r="AG56" t="str">
        <f ca="1">IFERROR(__xludf.DUMMYFUNCTION("""COMPUTED_VALUE"""),"Čára (line follower)")</f>
        <v>Čára (line follower)</v>
      </c>
    </row>
    <row r="57" spans="1:33" ht="13.2">
      <c r="A57">
        <f ca="1">IFERROR(__xludf.DUMMYFUNCTION("""COMPUTED_VALUE"""),56)</f>
        <v>56</v>
      </c>
      <c r="B57" t="str">
        <f ca="1">IFERROR(__xludf.DUMMYFUNCTION("""COMPUTED_VALUE"""),"Hodonín")</f>
        <v>Hodonín</v>
      </c>
      <c r="C57" t="str">
        <f ca="1">IFERROR(__xludf.DUMMYFUNCTION("""COMPUTED_VALUE"""),"SŠ průmyslová a umělecká Hodonín")</f>
        <v>SŠ průmyslová a umělecká Hodonín</v>
      </c>
      <c r="D57" t="str">
        <f ca="1">IFERROR(__xludf.DUMMYFUNCTION("""COMPUTED_VALUE"""),"One man show")</f>
        <v>One man show</v>
      </c>
      <c r="E57" t="str">
        <f ca="1">IFERROR(__xludf.DUMMYFUNCTION("""COMPUTED_VALUE"""),"---")</f>
        <v>---</v>
      </c>
      <c r="F57" t="str">
        <f ca="1">IFERROR(__xludf.DUMMYFUNCTION("""COMPUTED_VALUE"""),"")</f>
        <v/>
      </c>
      <c r="G57" t="str">
        <f ca="1">IFERROR(__xludf.DUMMYFUNCTION("""COMPUTED_VALUE"""),"---")</f>
        <v>---</v>
      </c>
      <c r="H57" t="str">
        <f ca="1">IFERROR(__xludf.DUMMYFUNCTION("""COMPUTED_VALUE"""),"")</f>
        <v/>
      </c>
      <c r="I57" t="str">
        <f ca="1">IFERROR(__xludf.DUMMYFUNCTION("""COMPUTED_VALUE"""),"---")</f>
        <v>---</v>
      </c>
      <c r="J57" t="str">
        <f ca="1">IFERROR(__xludf.DUMMYFUNCTION("""COMPUTED_VALUE"""),"")</f>
        <v/>
      </c>
      <c r="K57" t="str">
        <f ca="1">IFERROR(__xludf.DUMMYFUNCTION("""COMPUTED_VALUE"""),"")</f>
        <v/>
      </c>
      <c r="L57" t="str">
        <f ca="1">IFERROR(__xludf.DUMMYFUNCTION("""COMPUTED_VALUE"""),"")</f>
        <v/>
      </c>
      <c r="M57" t="str">
        <f ca="1">IFERROR(__xludf.DUMMYFUNCTION("""COMPUTED_VALUE"""),"")</f>
        <v/>
      </c>
      <c r="N57" t="str">
        <f ca="1">IFERROR(__xludf.DUMMYFUNCTION("""COMPUTED_VALUE"""),"")</f>
        <v/>
      </c>
      <c r="O57" t="str">
        <f ca="1">IFERROR(__xludf.DUMMYFUNCTION("""COMPUTED_VALUE"""),"")</f>
        <v/>
      </c>
      <c r="P57" t="str">
        <f ca="1">IFERROR(__xludf.DUMMYFUNCTION("""COMPUTED_VALUE"""),"")</f>
        <v/>
      </c>
      <c r="Q57" s="158">
        <f ca="1">IFERROR(__xludf.DUMMYFUNCTION("""COMPUTED_VALUE"""),0.508333333333333)</f>
        <v>0.50833333333333297</v>
      </c>
      <c r="R57" t="str">
        <f ca="1">IFERROR(__xludf.DUMMYFUNCTION("""COMPUTED_VALUE"""),"A")</f>
        <v>A</v>
      </c>
      <c r="S57" s="158">
        <f ca="1">IFERROR(__xludf.DUMMYFUNCTION("""COMPUTED_VALUE"""),0.546527777777777)</f>
        <v>0.54652777777777695</v>
      </c>
      <c r="T57" t="str">
        <f ca="1">IFERROR(__xludf.DUMMYFUNCTION("""COMPUTED_VALUE"""),"A")</f>
        <v>A</v>
      </c>
      <c r="U57" t="str">
        <f ca="1">IFERROR(__xludf.DUMMYFUNCTION("""COMPUTED_VALUE"""),"")</f>
        <v/>
      </c>
      <c r="V57" t="str">
        <f ca="1">IFERROR(__xludf.DUMMYFUNCTION("""COMPUTED_VALUE"""),"")</f>
        <v/>
      </c>
      <c r="W57" t="str">
        <f ca="1">IFERROR(__xludf.DUMMYFUNCTION("""COMPUTED_VALUE"""),"")</f>
        <v/>
      </c>
      <c r="X57" t="str">
        <f ca="1">IFERROR(__xludf.DUMMYFUNCTION("""COMPUTED_VALUE"""),"")</f>
        <v/>
      </c>
      <c r="Y57" t="str">
        <f ca="1">IFERROR(__xludf.DUMMYFUNCTION("""COMPUTED_VALUE"""),"SŠ")</f>
        <v>SŠ</v>
      </c>
      <c r="Z57" s="158" t="b">
        <f ca="1">IFERROR(__xludf.DUMMYFUNCTION("""COMPUTED_VALUE"""),FALSE)</f>
        <v>0</v>
      </c>
      <c r="AA57" t="b">
        <f ca="1">IFERROR(__xludf.DUMMYFUNCTION("""COMPUTED_VALUE"""),FALSE)</f>
        <v>0</v>
      </c>
      <c r="AB57" t="b">
        <f ca="1">IFERROR(__xludf.DUMMYFUNCTION("""COMPUTED_VALUE"""),FALSE)</f>
        <v>0</v>
      </c>
      <c r="AC57" t="b">
        <f ca="1">IFERROR(__xludf.DUMMYFUNCTION("""COMPUTED_VALUE"""),TRUE)</f>
        <v>1</v>
      </c>
      <c r="AD57" t="b">
        <f ca="1">IFERROR(__xludf.DUMMYFUNCTION("""COMPUTED_VALUE"""),FALSE)</f>
        <v>0</v>
      </c>
      <c r="AE57" t="b">
        <f ca="1">IFERROR(__xludf.DUMMYFUNCTION("""COMPUTED_VALUE"""),TRUE)</f>
        <v>1</v>
      </c>
      <c r="AF57" t="b">
        <f ca="1">IFERROR(__xludf.DUMMYFUNCTION("""COMPUTED_VALUE"""),FALSE)</f>
        <v>0</v>
      </c>
      <c r="AG57" t="str">
        <f ca="1">IFERROR(__xludf.DUMMYFUNCTION("""COMPUTED_VALUE"""),"Sprint - LEGO (drag race - Lego), Freestyle")</f>
        <v>Sprint - LEGO (drag race - Lego), Freestyle</v>
      </c>
    </row>
    <row r="58" spans="1:33" ht="13.2">
      <c r="A58">
        <f ca="1">IFERROR(__xludf.DUMMYFUNCTION("""COMPUTED_VALUE"""),57)</f>
        <v>57</v>
      </c>
      <c r="B58" t="str">
        <f ca="1">IFERROR(__xludf.DUMMYFUNCTION("""COMPUTED_VALUE"""),"Hodonín")</f>
        <v>Hodonín</v>
      </c>
      <c r="C58" t="str">
        <f ca="1">IFERROR(__xludf.DUMMYFUNCTION("""COMPUTED_VALUE"""),"Gymnázium a obchodní akademie, Hodonín")</f>
        <v>Gymnázium a obchodní akademie, Hodonín</v>
      </c>
      <c r="D58" t="str">
        <f ca="1">IFERROR(__xludf.DUMMYFUNCTION("""COMPUTED_VALUE"""),"Nevim skládat robota")</f>
        <v>Nevim skládat robota</v>
      </c>
      <c r="E58" t="str">
        <f ca="1">IFERROR(__xludf.DUMMYFUNCTION("""COMPUTED_VALUE"""),"---")</f>
        <v>---</v>
      </c>
      <c r="F58" t="str">
        <f ca="1">IFERROR(__xludf.DUMMYFUNCTION("""COMPUTED_VALUE"""),"")</f>
        <v/>
      </c>
      <c r="G58" t="str">
        <f ca="1">IFERROR(__xludf.DUMMYFUNCTION("""COMPUTED_VALUE"""),"---")</f>
        <v>---</v>
      </c>
      <c r="H58" t="str">
        <f ca="1">IFERROR(__xludf.DUMMYFUNCTION("""COMPUTED_VALUE"""),"")</f>
        <v/>
      </c>
      <c r="I58" t="str">
        <f ca="1">IFERROR(__xludf.DUMMYFUNCTION("""COMPUTED_VALUE"""),"---")</f>
        <v>---</v>
      </c>
      <c r="J58" t="str">
        <f ca="1">IFERROR(__xludf.DUMMYFUNCTION("""COMPUTED_VALUE"""),"")</f>
        <v/>
      </c>
      <c r="K58" s="158">
        <f ca="1">IFERROR(__xludf.DUMMYFUNCTION("""COMPUTED_VALUE"""),0.445138888888888)</f>
        <v>0.44513888888888797</v>
      </c>
      <c r="L58" t="str">
        <f ca="1">IFERROR(__xludf.DUMMYFUNCTION("""COMPUTED_VALUE"""),"A")</f>
        <v>A</v>
      </c>
      <c r="M58" s="158">
        <f ca="1">IFERROR(__xludf.DUMMYFUNCTION("""COMPUTED_VALUE"""),0.535416666666666)</f>
        <v>0.53541666666666599</v>
      </c>
      <c r="N58" t="str">
        <f ca="1">IFERROR(__xludf.DUMMYFUNCTION("""COMPUTED_VALUE"""),"A")</f>
        <v>A</v>
      </c>
      <c r="O58" t="str">
        <f ca="1">IFERROR(__xludf.DUMMYFUNCTION("""COMPUTED_VALUE"""),"")</f>
        <v/>
      </c>
      <c r="P58" t="str">
        <f ca="1">IFERROR(__xludf.DUMMYFUNCTION("""COMPUTED_VALUE"""),"")</f>
        <v/>
      </c>
      <c r="Q58" t="str">
        <f ca="1">IFERROR(__xludf.DUMMYFUNCTION("""COMPUTED_VALUE"""),"")</f>
        <v/>
      </c>
      <c r="R58" t="str">
        <f ca="1">IFERROR(__xludf.DUMMYFUNCTION("""COMPUTED_VALUE"""),"")</f>
        <v/>
      </c>
      <c r="S58" t="str">
        <f ca="1">IFERROR(__xludf.DUMMYFUNCTION("""COMPUTED_VALUE"""),"")</f>
        <v/>
      </c>
      <c r="T58" t="str">
        <f ca="1">IFERROR(__xludf.DUMMYFUNCTION("""COMPUTED_VALUE"""),"")</f>
        <v/>
      </c>
      <c r="U58" t="str">
        <f ca="1">IFERROR(__xludf.DUMMYFUNCTION("""COMPUTED_VALUE"""),"")</f>
        <v/>
      </c>
      <c r="V58" t="str">
        <f ca="1">IFERROR(__xludf.DUMMYFUNCTION("""COMPUTED_VALUE"""),"")</f>
        <v/>
      </c>
      <c r="W58" t="str">
        <f ca="1">IFERROR(__xludf.DUMMYFUNCTION("""COMPUTED_VALUE"""),"")</f>
        <v/>
      </c>
      <c r="X58" t="str">
        <f ca="1">IFERROR(__xludf.DUMMYFUNCTION("""COMPUTED_VALUE"""),"")</f>
        <v/>
      </c>
      <c r="Y58" t="str">
        <f ca="1">IFERROR(__xludf.DUMMYFUNCTION("""COMPUTED_VALUE"""),"ZŠ")</f>
        <v>ZŠ</v>
      </c>
      <c r="Z58" s="158" t="b">
        <f ca="1">IFERROR(__xludf.DUMMYFUNCTION("""COMPUTED_VALUE"""),FALSE)</f>
        <v>0</v>
      </c>
      <c r="AA58" t="b">
        <f ca="1">IFERROR(__xludf.DUMMYFUNCTION("""COMPUTED_VALUE"""),TRUE)</f>
        <v>1</v>
      </c>
      <c r="AB58" t="b">
        <f ca="1">IFERROR(__xludf.DUMMYFUNCTION("""COMPUTED_VALUE"""),FALSE)</f>
        <v>0</v>
      </c>
      <c r="AC58" t="b">
        <f ca="1">IFERROR(__xludf.DUMMYFUNCTION("""COMPUTED_VALUE"""),FALSE)</f>
        <v>0</v>
      </c>
      <c r="AD58" t="b">
        <f ca="1">IFERROR(__xludf.DUMMYFUNCTION("""COMPUTED_VALUE"""),FALSE)</f>
        <v>0</v>
      </c>
      <c r="AE58" t="b">
        <f ca="1">IFERROR(__xludf.DUMMYFUNCTION("""COMPUTED_VALUE"""),FALSE)</f>
        <v>0</v>
      </c>
      <c r="AF58" t="b">
        <f ca="1">IFERROR(__xludf.DUMMYFUNCTION("""COMPUTED_VALUE"""),FALSE)</f>
        <v>0</v>
      </c>
      <c r="AG58" t="str">
        <f ca="1">IFERROR(__xludf.DUMMYFUNCTION("""COMPUTED_VALUE"""),"Autonomní medvěd (bear rescue advance)")</f>
        <v>Autonomní medvěd (bear rescue advance)</v>
      </c>
    </row>
    <row r="59" spans="1:33" ht="13.2">
      <c r="A59">
        <f ca="1">IFERROR(__xludf.DUMMYFUNCTION("""COMPUTED_VALUE"""),58)</f>
        <v>58</v>
      </c>
      <c r="B59" t="str">
        <f ca="1">IFERROR(__xludf.DUMMYFUNCTION("""COMPUTED_VALUE"""),"Strážnice")</f>
        <v>Strážnice</v>
      </c>
      <c r="C59" t="str">
        <f ca="1">IFERROR(__xludf.DUMMYFUNCTION("""COMPUTED_VALUE"""),"Purkyňovo gymnázium Strážnice")</f>
        <v>Purkyňovo gymnázium Strážnice</v>
      </c>
      <c r="D59" t="str">
        <f ca="1">IFERROR(__xludf.DUMMYFUNCTION("""COMPUTED_VALUE"""),"Krystofnutt")</f>
        <v>Krystofnutt</v>
      </c>
      <c r="E59" t="str">
        <f ca="1">IFERROR(__xludf.DUMMYFUNCTION("""COMPUTED_VALUE"""),"---")</f>
        <v>---</v>
      </c>
      <c r="F59" t="str">
        <f ca="1">IFERROR(__xludf.DUMMYFUNCTION("""COMPUTED_VALUE"""),"")</f>
        <v/>
      </c>
      <c r="G59" t="str">
        <f ca="1">IFERROR(__xludf.DUMMYFUNCTION("""COMPUTED_VALUE"""),"---")</f>
        <v>---</v>
      </c>
      <c r="H59" t="str">
        <f ca="1">IFERROR(__xludf.DUMMYFUNCTION("""COMPUTED_VALUE"""),"")</f>
        <v/>
      </c>
      <c r="I59" t="str">
        <f ca="1">IFERROR(__xludf.DUMMYFUNCTION("""COMPUTED_VALUE"""),"---")</f>
        <v>---</v>
      </c>
      <c r="J59" t="str">
        <f ca="1">IFERROR(__xludf.DUMMYFUNCTION("""COMPUTED_VALUE"""),"")</f>
        <v/>
      </c>
      <c r="K59" s="158">
        <f ca="1">IFERROR(__xludf.DUMMYFUNCTION("""COMPUTED_VALUE"""),0.445138888888888)</f>
        <v>0.44513888888888797</v>
      </c>
      <c r="L59" t="str">
        <f ca="1">IFERROR(__xludf.DUMMYFUNCTION("""COMPUTED_VALUE"""),"B")</f>
        <v>B</v>
      </c>
      <c r="M59" s="158">
        <f ca="1">IFERROR(__xludf.DUMMYFUNCTION("""COMPUTED_VALUE"""),0.535416666666666)</f>
        <v>0.53541666666666599</v>
      </c>
      <c r="N59" t="str">
        <f ca="1">IFERROR(__xludf.DUMMYFUNCTION("""COMPUTED_VALUE"""),"B")</f>
        <v>B</v>
      </c>
      <c r="O59" t="str">
        <f ca="1">IFERROR(__xludf.DUMMYFUNCTION("""COMPUTED_VALUE"""),"")</f>
        <v/>
      </c>
      <c r="P59" t="str">
        <f ca="1">IFERROR(__xludf.DUMMYFUNCTION("""COMPUTED_VALUE"""),"")</f>
        <v/>
      </c>
      <c r="Q59" s="158">
        <f ca="1">IFERROR(__xludf.DUMMYFUNCTION("""COMPUTED_VALUE"""),0.508333333333333)</f>
        <v>0.50833333333333297</v>
      </c>
      <c r="R59" t="str">
        <f ca="1">IFERROR(__xludf.DUMMYFUNCTION("""COMPUTED_VALUE"""),"B")</f>
        <v>B</v>
      </c>
      <c r="S59" s="158">
        <f ca="1">IFERROR(__xludf.DUMMYFUNCTION("""COMPUTED_VALUE"""),0.546527777777777)</f>
        <v>0.54652777777777695</v>
      </c>
      <c r="T59" t="str">
        <f ca="1">IFERROR(__xludf.DUMMYFUNCTION("""COMPUTED_VALUE"""),"B")</f>
        <v>B</v>
      </c>
      <c r="U59" t="str">
        <f ca="1">IFERROR(__xludf.DUMMYFUNCTION("""COMPUTED_VALUE"""),"")</f>
        <v/>
      </c>
      <c r="V59" t="str">
        <f ca="1">IFERROR(__xludf.DUMMYFUNCTION("""COMPUTED_VALUE"""),"")</f>
        <v/>
      </c>
      <c r="W59" t="str">
        <f ca="1">IFERROR(__xludf.DUMMYFUNCTION("""COMPUTED_VALUE"""),"")</f>
        <v/>
      </c>
      <c r="X59" t="str">
        <f ca="1">IFERROR(__xludf.DUMMYFUNCTION("""COMPUTED_VALUE"""),"")</f>
        <v/>
      </c>
      <c r="Y59" t="str">
        <f ca="1">IFERROR(__xludf.DUMMYFUNCTION("""COMPUTED_VALUE"""),"ZŠ")</f>
        <v>ZŠ</v>
      </c>
      <c r="Z59" s="158" t="b">
        <f ca="1">IFERROR(__xludf.DUMMYFUNCTION("""COMPUTED_VALUE"""),FALSE)</f>
        <v>0</v>
      </c>
      <c r="AA59" t="b">
        <f ca="1">IFERROR(__xludf.DUMMYFUNCTION("""COMPUTED_VALUE"""),TRUE)</f>
        <v>1</v>
      </c>
      <c r="AB59" t="b">
        <f ca="1">IFERROR(__xludf.DUMMYFUNCTION("""COMPUTED_VALUE"""),FALSE)</f>
        <v>0</v>
      </c>
      <c r="AC59" t="b">
        <f ca="1">IFERROR(__xludf.DUMMYFUNCTION("""COMPUTED_VALUE"""),TRUE)</f>
        <v>1</v>
      </c>
      <c r="AD59" t="b">
        <f ca="1">IFERROR(__xludf.DUMMYFUNCTION("""COMPUTED_VALUE"""),FALSE)</f>
        <v>0</v>
      </c>
      <c r="AE59" t="b">
        <f ca="1">IFERROR(__xludf.DUMMYFUNCTION("""COMPUTED_VALUE"""),FALSE)</f>
        <v>0</v>
      </c>
      <c r="AF59" t="b">
        <f ca="1">IFERROR(__xludf.DUMMYFUNCTION("""COMPUTED_VALUE"""),FALSE)</f>
        <v>0</v>
      </c>
      <c r="AG59" t="str">
        <f ca="1">IFERROR(__xludf.DUMMYFUNCTION("""COMPUTED_VALUE"""),"Autonomní medvěd (bear rescue advance), Sprint - LEGO (drag race - Lego)")</f>
        <v>Autonomní medvěd (bear rescue advance), Sprint - LEGO (drag race - Lego)</v>
      </c>
    </row>
    <row r="60" spans="1:33" ht="13.2">
      <c r="A60">
        <f ca="1">IFERROR(__xludf.DUMMYFUNCTION("""COMPUTED_VALUE"""),59)</f>
        <v>59</v>
      </c>
      <c r="B60" t="str">
        <f ca="1">IFERROR(__xludf.DUMMYFUNCTION("""COMPUTED_VALUE"""),"Banská Štiavnica")</f>
        <v>Banská Štiavnica</v>
      </c>
      <c r="C60" t="str">
        <f ca="1">IFERROR(__xludf.DUMMYFUNCTION("""COMPUTED_VALUE"""),"SOŠ sv. Františka Assiského Banská Štiavnica")</f>
        <v>SOŠ sv. Františka Assiského Banská Štiavnica</v>
      </c>
      <c r="D60" t="str">
        <f ca="1">IFERROR(__xludf.DUMMYFUNCTION("""COMPUTED_VALUE"""),"D-team")</f>
        <v>D-team</v>
      </c>
      <c r="E60" s="158">
        <f ca="1">IFERROR(__xludf.DUMMYFUNCTION("""COMPUTED_VALUE"""),0.41875)</f>
        <v>0.41875000000000001</v>
      </c>
      <c r="F60" t="str">
        <f ca="1">IFERROR(__xludf.DUMMYFUNCTION("""COMPUTED_VALUE"""),"B")</f>
        <v>B</v>
      </c>
      <c r="G60" s="158">
        <f ca="1">IFERROR(__xludf.DUMMYFUNCTION("""COMPUTED_VALUE"""),0.488888888888888)</f>
        <v>0.48888888888888798</v>
      </c>
      <c r="H60" t="str">
        <f ca="1">IFERROR(__xludf.DUMMYFUNCTION("""COMPUTED_VALUE"""),"B")</f>
        <v>B</v>
      </c>
      <c r="I60" s="158">
        <f ca="1">IFERROR(__xludf.DUMMYFUNCTION("""COMPUTED_VALUE"""),0.563888888888888)</f>
        <v>0.563888888888888</v>
      </c>
      <c r="J60" t="str">
        <f ca="1">IFERROR(__xludf.DUMMYFUNCTION("""COMPUTED_VALUE"""),"B")</f>
        <v>B</v>
      </c>
      <c r="K60" t="str">
        <f ca="1">IFERROR(__xludf.DUMMYFUNCTION("""COMPUTED_VALUE"""),"")</f>
        <v/>
      </c>
      <c r="L60" t="str">
        <f ca="1">IFERROR(__xludf.DUMMYFUNCTION("""COMPUTED_VALUE"""),"")</f>
        <v/>
      </c>
      <c r="M60" t="str">
        <f ca="1">IFERROR(__xludf.DUMMYFUNCTION("""COMPUTED_VALUE"""),"")</f>
        <v/>
      </c>
      <c r="N60" t="str">
        <f ca="1">IFERROR(__xludf.DUMMYFUNCTION("""COMPUTED_VALUE"""),"")</f>
        <v/>
      </c>
      <c r="O60" t="str">
        <f ca="1">IFERROR(__xludf.DUMMYFUNCTION("""COMPUTED_VALUE"""),"")</f>
        <v/>
      </c>
      <c r="P60" t="str">
        <f ca="1">IFERROR(__xludf.DUMMYFUNCTION("""COMPUTED_VALUE"""),"")</f>
        <v/>
      </c>
      <c r="Q60" t="str">
        <f ca="1">IFERROR(__xludf.DUMMYFUNCTION("""COMPUTED_VALUE"""),"")</f>
        <v/>
      </c>
      <c r="R60" t="str">
        <f ca="1">IFERROR(__xludf.DUMMYFUNCTION("""COMPUTED_VALUE"""),"")</f>
        <v/>
      </c>
      <c r="S60" t="str">
        <f ca="1">IFERROR(__xludf.DUMMYFUNCTION("""COMPUTED_VALUE"""),"")</f>
        <v/>
      </c>
      <c r="T60" t="str">
        <f ca="1">IFERROR(__xludf.DUMMYFUNCTION("""COMPUTED_VALUE"""),"")</f>
        <v/>
      </c>
      <c r="U60" t="str">
        <f ca="1">IFERROR(__xludf.DUMMYFUNCTION("""COMPUTED_VALUE"""),"")</f>
        <v/>
      </c>
      <c r="V60" t="str">
        <f ca="1">IFERROR(__xludf.DUMMYFUNCTION("""COMPUTED_VALUE"""),"")</f>
        <v/>
      </c>
      <c r="W60" t="str">
        <f ca="1">IFERROR(__xludf.DUMMYFUNCTION("""COMPUTED_VALUE"""),"")</f>
        <v/>
      </c>
      <c r="X60" t="str">
        <f ca="1">IFERROR(__xludf.DUMMYFUNCTION("""COMPUTED_VALUE"""),"")</f>
        <v/>
      </c>
      <c r="Y60" t="str">
        <f ca="1">IFERROR(__xludf.DUMMYFUNCTION("""COMPUTED_VALUE"""),"SŠ")</f>
        <v>SŠ</v>
      </c>
      <c r="Z60" t="b">
        <f ca="1">IFERROR(__xludf.DUMMYFUNCTION("""COMPUTED_VALUE"""),TRUE)</f>
        <v>1</v>
      </c>
      <c r="AA60" t="b">
        <f ca="1">IFERROR(__xludf.DUMMYFUNCTION("""COMPUTED_VALUE"""),FALSE)</f>
        <v>0</v>
      </c>
      <c r="AB60" t="b">
        <f ca="1">IFERROR(__xludf.DUMMYFUNCTION("""COMPUTED_VALUE"""),FALSE)</f>
        <v>0</v>
      </c>
      <c r="AC60" t="b">
        <f ca="1">IFERROR(__xludf.DUMMYFUNCTION("""COMPUTED_VALUE"""),FALSE)</f>
        <v>0</v>
      </c>
      <c r="AD60" t="b">
        <f ca="1">IFERROR(__xludf.DUMMYFUNCTION("""COMPUTED_VALUE"""),FALSE)</f>
        <v>0</v>
      </c>
      <c r="AE60" t="b">
        <f ca="1">IFERROR(__xludf.DUMMYFUNCTION("""COMPUTED_VALUE"""),FALSE)</f>
        <v>0</v>
      </c>
      <c r="AF60" t="b">
        <f ca="1">IFERROR(__xludf.DUMMYFUNCTION("""COMPUTED_VALUE"""),FALSE)</f>
        <v>0</v>
      </c>
      <c r="AG60" t="str">
        <f ca="1">IFERROR(__xludf.DUMMYFUNCTION("""COMPUTED_VALUE"""),"Čára (line follower)")</f>
        <v>Čára (line follower)</v>
      </c>
    </row>
    <row r="61" spans="1:33" ht="13.2">
      <c r="A61">
        <f ca="1">IFERROR(__xludf.DUMMYFUNCTION("""COMPUTED_VALUE"""),60)</f>
        <v>60</v>
      </c>
      <c r="B61" t="str">
        <f ca="1">IFERROR(__xludf.DUMMYFUNCTION("""COMPUTED_VALUE"""),"Banská Štiavnica")</f>
        <v>Banská Štiavnica</v>
      </c>
      <c r="C61" t="str">
        <f ca="1">IFERROR(__xludf.DUMMYFUNCTION("""COMPUTED_VALUE"""),"Katolícka spojená škola Banská Štiavnica")</f>
        <v>Katolícka spojená škola Banská Štiavnica</v>
      </c>
      <c r="D61" t="str">
        <f ca="1">IFERROR(__xludf.DUMMYFUNCTION("""COMPUTED_VALUE"""),"SuperGo")</f>
        <v>SuperGo</v>
      </c>
      <c r="E61" s="158">
        <f ca="1">IFERROR(__xludf.DUMMYFUNCTION("""COMPUTED_VALUE"""),0.41875)</f>
        <v>0.41875000000000001</v>
      </c>
      <c r="F61" t="str">
        <f ca="1">IFERROR(__xludf.DUMMYFUNCTION("""COMPUTED_VALUE"""),"A")</f>
        <v>A</v>
      </c>
      <c r="G61" s="158">
        <f ca="1">IFERROR(__xludf.DUMMYFUNCTION("""COMPUTED_VALUE"""),0.488888888888888)</f>
        <v>0.48888888888888798</v>
      </c>
      <c r="H61" t="str">
        <f ca="1">IFERROR(__xludf.DUMMYFUNCTION("""COMPUTED_VALUE"""),"A")</f>
        <v>A</v>
      </c>
      <c r="I61" s="158">
        <f ca="1">IFERROR(__xludf.DUMMYFUNCTION("""COMPUTED_VALUE"""),0.563888888888888)</f>
        <v>0.563888888888888</v>
      </c>
      <c r="J61" t="str">
        <f ca="1">IFERROR(__xludf.DUMMYFUNCTION("""COMPUTED_VALUE"""),"A")</f>
        <v>A</v>
      </c>
      <c r="K61" t="str">
        <f ca="1">IFERROR(__xludf.DUMMYFUNCTION("""COMPUTED_VALUE"""),"")</f>
        <v/>
      </c>
      <c r="L61" t="str">
        <f ca="1">IFERROR(__xludf.DUMMYFUNCTION("""COMPUTED_VALUE"""),"")</f>
        <v/>
      </c>
      <c r="M61" t="str">
        <f ca="1">IFERROR(__xludf.DUMMYFUNCTION("""COMPUTED_VALUE"""),"")</f>
        <v/>
      </c>
      <c r="N61" t="str">
        <f ca="1">IFERROR(__xludf.DUMMYFUNCTION("""COMPUTED_VALUE"""),"")</f>
        <v/>
      </c>
      <c r="O61" t="str">
        <f ca="1">IFERROR(__xludf.DUMMYFUNCTION("""COMPUTED_VALUE"""),"")</f>
        <v/>
      </c>
      <c r="P61" t="str">
        <f ca="1">IFERROR(__xludf.DUMMYFUNCTION("""COMPUTED_VALUE"""),"")</f>
        <v/>
      </c>
      <c r="Q61" s="158">
        <f ca="1">IFERROR(__xludf.DUMMYFUNCTION("""COMPUTED_VALUE"""),0.509027777777777)</f>
        <v>0.50902777777777697</v>
      </c>
      <c r="R61" t="str">
        <f ca="1">IFERROR(__xludf.DUMMYFUNCTION("""COMPUTED_VALUE"""),"A")</f>
        <v>A</v>
      </c>
      <c r="S61" s="158">
        <f ca="1">IFERROR(__xludf.DUMMYFUNCTION("""COMPUTED_VALUE"""),0.547222222222222)</f>
        <v>0.54722222222222205</v>
      </c>
      <c r="T61" t="str">
        <f ca="1">IFERROR(__xludf.DUMMYFUNCTION("""COMPUTED_VALUE"""),"A")</f>
        <v>A</v>
      </c>
      <c r="U61" t="str">
        <f ca="1">IFERROR(__xludf.DUMMYFUNCTION("""COMPUTED_VALUE"""),"")</f>
        <v/>
      </c>
      <c r="V61" t="str">
        <f ca="1">IFERROR(__xludf.DUMMYFUNCTION("""COMPUTED_VALUE"""),"")</f>
        <v/>
      </c>
      <c r="W61" t="str">
        <f ca="1">IFERROR(__xludf.DUMMYFUNCTION("""COMPUTED_VALUE"""),"")</f>
        <v/>
      </c>
      <c r="X61" t="str">
        <f ca="1">IFERROR(__xludf.DUMMYFUNCTION("""COMPUTED_VALUE"""),"")</f>
        <v/>
      </c>
      <c r="Y61" t="str">
        <f ca="1">IFERROR(__xludf.DUMMYFUNCTION("""COMPUTED_VALUE"""),"ZŠ")</f>
        <v>ZŠ</v>
      </c>
      <c r="Z61" t="b">
        <f ca="1">IFERROR(__xludf.DUMMYFUNCTION("""COMPUTED_VALUE"""),TRUE)</f>
        <v>1</v>
      </c>
      <c r="AA61" t="b">
        <f ca="1">IFERROR(__xludf.DUMMYFUNCTION("""COMPUTED_VALUE"""),FALSE)</f>
        <v>0</v>
      </c>
      <c r="AB61" t="b">
        <f ca="1">IFERROR(__xludf.DUMMYFUNCTION("""COMPUTED_VALUE"""),FALSE)</f>
        <v>0</v>
      </c>
      <c r="AC61" t="b">
        <f ca="1">IFERROR(__xludf.DUMMYFUNCTION("""COMPUTED_VALUE"""),TRUE)</f>
        <v>1</v>
      </c>
      <c r="AD61" t="b">
        <f ca="1">IFERROR(__xludf.DUMMYFUNCTION("""COMPUTED_VALUE"""),FALSE)</f>
        <v>0</v>
      </c>
      <c r="AE61" t="b">
        <f ca="1">IFERROR(__xludf.DUMMYFUNCTION("""COMPUTED_VALUE"""),FALSE)</f>
        <v>0</v>
      </c>
      <c r="AF61" t="b">
        <f ca="1">IFERROR(__xludf.DUMMYFUNCTION("""COMPUTED_VALUE"""),FALSE)</f>
        <v>0</v>
      </c>
      <c r="AG61" t="str">
        <f ca="1">IFERROR(__xludf.DUMMYFUNCTION("""COMPUTED_VALUE"""),"Čára (line follower), Sprint - LEGO (drag race - Lego)")</f>
        <v>Čára (line follower), Sprint - LEGO (drag race - Lego)</v>
      </c>
    </row>
    <row r="62" spans="1:33" ht="13.2">
      <c r="A62">
        <f ca="1">IFERROR(__xludf.DUMMYFUNCTION("""COMPUTED_VALUE"""),61)</f>
        <v>61</v>
      </c>
      <c r="B62" t="str">
        <f ca="1">IFERROR(__xludf.DUMMYFUNCTION("""COMPUTED_VALUE"""),"Banská Štiavnica")</f>
        <v>Banská Štiavnica</v>
      </c>
      <c r="C62" t="str">
        <f ca="1">IFERROR(__xludf.DUMMYFUNCTION("""COMPUTED_VALUE"""),"Katolícka spojená škola Banská Štiavnica")</f>
        <v>Katolícka spojená škola Banská Štiavnica</v>
      </c>
      <c r="D62" t="str">
        <f ca="1">IFERROR(__xludf.DUMMYFUNCTION("""COMPUTED_VALUE"""),"TD")</f>
        <v>TD</v>
      </c>
      <c r="E62" s="158">
        <f ca="1">IFERROR(__xludf.DUMMYFUNCTION("""COMPUTED_VALUE"""),0.420138888888888)</f>
        <v>0.42013888888888801</v>
      </c>
      <c r="F62" t="str">
        <f ca="1">IFERROR(__xludf.DUMMYFUNCTION("""COMPUTED_VALUE"""),"B")</f>
        <v>B</v>
      </c>
      <c r="G62" s="158">
        <f ca="1">IFERROR(__xludf.DUMMYFUNCTION("""COMPUTED_VALUE"""),0.490277777777777)</f>
        <v>0.49027777777777698</v>
      </c>
      <c r="H62" t="str">
        <f ca="1">IFERROR(__xludf.DUMMYFUNCTION("""COMPUTED_VALUE"""),"B")</f>
        <v>B</v>
      </c>
      <c r="I62" s="158">
        <f ca="1">IFERROR(__xludf.DUMMYFUNCTION("""COMPUTED_VALUE"""),0.565277777777777)</f>
        <v>0.56527777777777699</v>
      </c>
      <c r="J62" t="str">
        <f ca="1">IFERROR(__xludf.DUMMYFUNCTION("""COMPUTED_VALUE"""),"B")</f>
        <v>B</v>
      </c>
      <c r="K62" t="str">
        <f ca="1">IFERROR(__xludf.DUMMYFUNCTION("""COMPUTED_VALUE"""),"")</f>
        <v/>
      </c>
      <c r="L62" t="str">
        <f ca="1">IFERROR(__xludf.DUMMYFUNCTION("""COMPUTED_VALUE"""),"")</f>
        <v/>
      </c>
      <c r="M62" t="str">
        <f ca="1">IFERROR(__xludf.DUMMYFUNCTION("""COMPUTED_VALUE"""),"")</f>
        <v/>
      </c>
      <c r="N62" t="str">
        <f ca="1">IFERROR(__xludf.DUMMYFUNCTION("""COMPUTED_VALUE"""),"")</f>
        <v/>
      </c>
      <c r="O62" s="158">
        <f ca="1">IFERROR(__xludf.DUMMYFUNCTION("""COMPUTED_VALUE"""),0.484722222222222)</f>
        <v>0.484722222222222</v>
      </c>
      <c r="P62" t="str">
        <f ca="1">IFERROR(__xludf.DUMMYFUNCTION("""COMPUTED_VALUE"""),"B")</f>
        <v>B</v>
      </c>
      <c r="Q62" t="str">
        <f ca="1">IFERROR(__xludf.DUMMYFUNCTION("""COMPUTED_VALUE"""),"")</f>
        <v/>
      </c>
      <c r="R62" t="str">
        <f ca="1">IFERROR(__xludf.DUMMYFUNCTION("""COMPUTED_VALUE"""),"")</f>
        <v/>
      </c>
      <c r="S62" t="str">
        <f ca="1">IFERROR(__xludf.DUMMYFUNCTION("""COMPUTED_VALUE"""),"")</f>
        <v/>
      </c>
      <c r="T62" t="str">
        <f ca="1">IFERROR(__xludf.DUMMYFUNCTION("""COMPUTED_VALUE"""),"")</f>
        <v/>
      </c>
      <c r="U62" t="str">
        <f ca="1">IFERROR(__xludf.DUMMYFUNCTION("""COMPUTED_VALUE"""),"")</f>
        <v/>
      </c>
      <c r="V62" t="str">
        <f ca="1">IFERROR(__xludf.DUMMYFUNCTION("""COMPUTED_VALUE"""),"")</f>
        <v/>
      </c>
      <c r="W62" t="str">
        <f ca="1">IFERROR(__xludf.DUMMYFUNCTION("""COMPUTED_VALUE"""),"")</f>
        <v/>
      </c>
      <c r="X62" t="str">
        <f ca="1">IFERROR(__xludf.DUMMYFUNCTION("""COMPUTED_VALUE"""),"")</f>
        <v/>
      </c>
      <c r="Y62" t="str">
        <f ca="1">IFERROR(__xludf.DUMMYFUNCTION("""COMPUTED_VALUE"""),"ZŠ")</f>
        <v>ZŠ</v>
      </c>
      <c r="Z62" t="b">
        <f ca="1">IFERROR(__xludf.DUMMYFUNCTION("""COMPUTED_VALUE"""),TRUE)</f>
        <v>1</v>
      </c>
      <c r="AA62" t="b">
        <f ca="1">IFERROR(__xludf.DUMMYFUNCTION("""COMPUTED_VALUE"""),FALSE)</f>
        <v>0</v>
      </c>
      <c r="AB62" t="b">
        <f ca="1">IFERROR(__xludf.DUMMYFUNCTION("""COMPUTED_VALUE"""),TRUE)</f>
        <v>1</v>
      </c>
      <c r="AC62" t="b">
        <f ca="1">IFERROR(__xludf.DUMMYFUNCTION("""COMPUTED_VALUE"""),FALSE)</f>
        <v>0</v>
      </c>
      <c r="AD62" t="b">
        <f ca="1">IFERROR(__xludf.DUMMYFUNCTION("""COMPUTED_VALUE"""),FALSE)</f>
        <v>0</v>
      </c>
      <c r="AE62" t="b">
        <f ca="1">IFERROR(__xludf.DUMMYFUNCTION("""COMPUTED_VALUE"""),FALSE)</f>
        <v>0</v>
      </c>
      <c r="AF62" t="b">
        <f ca="1">IFERROR(__xludf.DUMMYFUNCTION("""COMPUTED_VALUE"""),FALSE)</f>
        <v>0</v>
      </c>
      <c r="AG62" t="str">
        <f ca="1">IFERROR(__xludf.DUMMYFUNCTION("""COMPUTED_VALUE"""),"Čára (line follower), Dálkový medvěd (bear rescue)")</f>
        <v>Čára (line follower), Dálkový medvěd (bear rescue)</v>
      </c>
    </row>
    <row r="63" spans="1:33" ht="13.2">
      <c r="A63">
        <f ca="1">IFERROR(__xludf.DUMMYFUNCTION("""COMPUTED_VALUE"""),62)</f>
        <v>62</v>
      </c>
      <c r="B63" t="str">
        <f ca="1">IFERROR(__xludf.DUMMYFUNCTION("""COMPUTED_VALUE"""),"Martin")</f>
        <v>Martin</v>
      </c>
      <c r="C63" t="str">
        <f ca="1">IFERROR(__xludf.DUMMYFUNCTION("""COMPUTED_VALUE"""),"SPŠ technická Martin")</f>
        <v>SPŠ technická Martin</v>
      </c>
      <c r="D63" t="str">
        <f ca="1">IFERROR(__xludf.DUMMYFUNCTION("""COMPUTED_VALUE"""),"TurboSPS")</f>
        <v>TurboSPS</v>
      </c>
      <c r="E63" t="str">
        <f ca="1">IFERROR(__xludf.DUMMYFUNCTION("""COMPUTED_VALUE"""),"---")</f>
        <v>---</v>
      </c>
      <c r="F63" t="str">
        <f ca="1">IFERROR(__xludf.DUMMYFUNCTION("""COMPUTED_VALUE"""),"")</f>
        <v/>
      </c>
      <c r="G63" t="str">
        <f ca="1">IFERROR(__xludf.DUMMYFUNCTION("""COMPUTED_VALUE"""),"---")</f>
        <v>---</v>
      </c>
      <c r="H63" t="str">
        <f ca="1">IFERROR(__xludf.DUMMYFUNCTION("""COMPUTED_VALUE"""),"")</f>
        <v/>
      </c>
      <c r="I63" t="str">
        <f ca="1">IFERROR(__xludf.DUMMYFUNCTION("""COMPUTED_VALUE"""),"---")</f>
        <v>---</v>
      </c>
      <c r="J63" t="str">
        <f ca="1">IFERROR(__xludf.DUMMYFUNCTION("""COMPUTED_VALUE"""),"")</f>
        <v/>
      </c>
      <c r="K63" t="str">
        <f ca="1">IFERROR(__xludf.DUMMYFUNCTION("""COMPUTED_VALUE"""),"")</f>
        <v/>
      </c>
      <c r="L63" t="str">
        <f ca="1">IFERROR(__xludf.DUMMYFUNCTION("""COMPUTED_VALUE"""),"")</f>
        <v/>
      </c>
      <c r="M63" t="str">
        <f ca="1">IFERROR(__xludf.DUMMYFUNCTION("""COMPUTED_VALUE"""),"")</f>
        <v/>
      </c>
      <c r="N63" t="str">
        <f ca="1">IFERROR(__xludf.DUMMYFUNCTION("""COMPUTED_VALUE"""),"")</f>
        <v/>
      </c>
      <c r="O63" s="158">
        <f ca="1">IFERROR(__xludf.DUMMYFUNCTION("""COMPUTED_VALUE"""),0.486111111111111)</f>
        <v>0.48611111111111099</v>
      </c>
      <c r="P63" t="str">
        <f ca="1">IFERROR(__xludf.DUMMYFUNCTION("""COMPUTED_VALUE"""),"A")</f>
        <v>A</v>
      </c>
      <c r="Q63" t="str">
        <f ca="1">IFERROR(__xludf.DUMMYFUNCTION("""COMPUTED_VALUE"""),"")</f>
        <v/>
      </c>
      <c r="R63" t="str">
        <f ca="1">IFERROR(__xludf.DUMMYFUNCTION("""COMPUTED_VALUE"""),"")</f>
        <v/>
      </c>
      <c r="S63" t="str">
        <f ca="1">IFERROR(__xludf.DUMMYFUNCTION("""COMPUTED_VALUE"""),"")</f>
        <v/>
      </c>
      <c r="T63" t="str">
        <f ca="1">IFERROR(__xludf.DUMMYFUNCTION("""COMPUTED_VALUE"""),"")</f>
        <v/>
      </c>
      <c r="U63" t="str">
        <f ca="1">IFERROR(__xludf.DUMMYFUNCTION("""COMPUTED_VALUE"""),"")</f>
        <v/>
      </c>
      <c r="V63" t="str">
        <f ca="1">IFERROR(__xludf.DUMMYFUNCTION("""COMPUTED_VALUE"""),"")</f>
        <v/>
      </c>
      <c r="W63" t="str">
        <f ca="1">IFERROR(__xludf.DUMMYFUNCTION("""COMPUTED_VALUE"""),"")</f>
        <v/>
      </c>
      <c r="X63" t="str">
        <f ca="1">IFERROR(__xludf.DUMMYFUNCTION("""COMPUTED_VALUE"""),"")</f>
        <v/>
      </c>
      <c r="Y63" t="str">
        <f ca="1">IFERROR(__xludf.DUMMYFUNCTION("""COMPUTED_VALUE"""),"SŠ")</f>
        <v>SŠ</v>
      </c>
      <c r="Z63" t="b">
        <f ca="1">IFERROR(__xludf.DUMMYFUNCTION("""COMPUTED_VALUE"""),FALSE)</f>
        <v>0</v>
      </c>
      <c r="AA63" t="b">
        <f ca="1">IFERROR(__xludf.DUMMYFUNCTION("""COMPUTED_VALUE"""),FALSE)</f>
        <v>0</v>
      </c>
      <c r="AB63" t="b">
        <f ca="1">IFERROR(__xludf.DUMMYFUNCTION("""COMPUTED_VALUE"""),TRUE)</f>
        <v>1</v>
      </c>
      <c r="AC63" t="b">
        <f ca="1">IFERROR(__xludf.DUMMYFUNCTION("""COMPUTED_VALUE"""),FALSE)</f>
        <v>0</v>
      </c>
      <c r="AD63" t="b">
        <f ca="1">IFERROR(__xludf.DUMMYFUNCTION("""COMPUTED_VALUE"""),FALSE)</f>
        <v>0</v>
      </c>
      <c r="AE63" t="b">
        <f ca="1">IFERROR(__xludf.DUMMYFUNCTION("""COMPUTED_VALUE"""),FALSE)</f>
        <v>0</v>
      </c>
      <c r="AF63" t="b">
        <f ca="1">IFERROR(__xludf.DUMMYFUNCTION("""COMPUTED_VALUE"""),FALSE)</f>
        <v>0</v>
      </c>
      <c r="AG63" t="str">
        <f ca="1">IFERROR(__xludf.DUMMYFUNCTION("""COMPUTED_VALUE"""),"Dálkový medvěd (bear rescue)")</f>
        <v>Dálkový medvěd (bear rescue)</v>
      </c>
    </row>
    <row r="64" spans="1:33" ht="13.2">
      <c r="A64">
        <f ca="1">IFERROR(__xludf.DUMMYFUNCTION("""COMPUTED_VALUE"""),64)</f>
        <v>64</v>
      </c>
      <c r="B64" t="str">
        <f ca="1">IFERROR(__xludf.DUMMYFUNCTION("""COMPUTED_VALUE"""),"Benátky nad Jizerou")</f>
        <v>Benátky nad Jizerou</v>
      </c>
      <c r="C64" t="str">
        <f ca="1">IFERROR(__xludf.DUMMYFUNCTION("""COMPUTED_VALUE"""),"ZŠ Otevřeno Benátky nad Jizerou")</f>
        <v>ZŠ Otevřeno Benátky nad Jizerou</v>
      </c>
      <c r="D64" t="str">
        <f ca="1">IFERROR(__xludf.DUMMYFUNCTION("""COMPUTED_VALUE"""),"WeDo ZŠ Otevřeno")</f>
        <v>WeDo ZŠ Otevřeno</v>
      </c>
      <c r="E64" t="str">
        <f ca="1">IFERROR(__xludf.DUMMYFUNCTION("""COMPUTED_VALUE"""),"---")</f>
        <v>---</v>
      </c>
      <c r="F64" t="str">
        <f ca="1">IFERROR(__xludf.DUMMYFUNCTION("""COMPUTED_VALUE"""),"")</f>
        <v/>
      </c>
      <c r="G64" t="str">
        <f ca="1">IFERROR(__xludf.DUMMYFUNCTION("""COMPUTED_VALUE"""),"---")</f>
        <v>---</v>
      </c>
      <c r="H64" t="str">
        <f ca="1">IFERROR(__xludf.DUMMYFUNCTION("""COMPUTED_VALUE"""),"")</f>
        <v/>
      </c>
      <c r="I64" t="str">
        <f ca="1">IFERROR(__xludf.DUMMYFUNCTION("""COMPUTED_VALUE"""),"---")</f>
        <v>---</v>
      </c>
      <c r="J64" t="str">
        <f ca="1">IFERROR(__xludf.DUMMYFUNCTION("""COMPUTED_VALUE"""),"")</f>
        <v/>
      </c>
      <c r="K64" t="str">
        <f ca="1">IFERROR(__xludf.DUMMYFUNCTION("""COMPUTED_VALUE"""),"")</f>
        <v/>
      </c>
      <c r="L64" t="str">
        <f ca="1">IFERROR(__xludf.DUMMYFUNCTION("""COMPUTED_VALUE"""),"")</f>
        <v/>
      </c>
      <c r="M64" t="str">
        <f ca="1">IFERROR(__xludf.DUMMYFUNCTION("""COMPUTED_VALUE"""),"")</f>
        <v/>
      </c>
      <c r="N64" t="str">
        <f ca="1">IFERROR(__xludf.DUMMYFUNCTION("""COMPUTED_VALUE"""),"")</f>
        <v/>
      </c>
      <c r="O64" t="str">
        <f ca="1">IFERROR(__xludf.DUMMYFUNCTION("""COMPUTED_VALUE"""),"")</f>
        <v/>
      </c>
      <c r="P64" t="str">
        <f ca="1">IFERROR(__xludf.DUMMYFUNCTION("""COMPUTED_VALUE"""),"")</f>
        <v/>
      </c>
      <c r="Q64" t="str">
        <f ca="1">IFERROR(__xludf.DUMMYFUNCTION("""COMPUTED_VALUE"""),"")</f>
        <v/>
      </c>
      <c r="R64" t="str">
        <f ca="1">IFERROR(__xludf.DUMMYFUNCTION("""COMPUTED_VALUE"""),"")</f>
        <v/>
      </c>
      <c r="S64" t="str">
        <f ca="1">IFERROR(__xludf.DUMMYFUNCTION("""COMPUTED_VALUE"""),"")</f>
        <v/>
      </c>
      <c r="T64" t="str">
        <f ca="1">IFERROR(__xludf.DUMMYFUNCTION("""COMPUTED_VALUE"""),"")</f>
        <v/>
      </c>
      <c r="U64" t="str">
        <f ca="1">IFERROR(__xludf.DUMMYFUNCTION("""COMPUTED_VALUE"""),"")</f>
        <v/>
      </c>
      <c r="V64" t="str">
        <f ca="1">IFERROR(__xludf.DUMMYFUNCTION("""COMPUTED_VALUE"""),"")</f>
        <v/>
      </c>
      <c r="W64" t="str">
        <f ca="1">IFERROR(__xludf.DUMMYFUNCTION("""COMPUTED_VALUE"""),"")</f>
        <v/>
      </c>
      <c r="X64" t="str">
        <f ca="1">IFERROR(__xludf.DUMMYFUNCTION("""COMPUTED_VALUE"""),"")</f>
        <v/>
      </c>
      <c r="Y64" t="str">
        <f ca="1">IFERROR(__xludf.DUMMYFUNCTION("""COMPUTED_VALUE"""),"ZŠ")</f>
        <v>ZŠ</v>
      </c>
      <c r="Z64" s="158" t="b">
        <f ca="1">IFERROR(__xludf.DUMMYFUNCTION("""COMPUTED_VALUE"""),FALSE)</f>
        <v>0</v>
      </c>
      <c r="AA64" t="b">
        <f ca="1">IFERROR(__xludf.DUMMYFUNCTION("""COMPUTED_VALUE"""),FALSE)</f>
        <v>0</v>
      </c>
      <c r="AB64" t="b">
        <f ca="1">IFERROR(__xludf.DUMMYFUNCTION("""COMPUTED_VALUE"""),FALSE)</f>
        <v>0</v>
      </c>
      <c r="AC64" t="b">
        <f ca="1">IFERROR(__xludf.DUMMYFUNCTION("""COMPUTED_VALUE"""),FALSE)</f>
        <v>0</v>
      </c>
      <c r="AD64" t="b">
        <f ca="1">IFERROR(__xludf.DUMMYFUNCTION("""COMPUTED_VALUE"""),FALSE)</f>
        <v>0</v>
      </c>
      <c r="AE64" t="b">
        <f ca="1">IFERROR(__xludf.DUMMYFUNCTION("""COMPUTED_VALUE"""),FALSE)</f>
        <v>0</v>
      </c>
      <c r="AF64" t="b">
        <f ca="1">IFERROR(__xludf.DUMMYFUNCTION("""COMPUTED_VALUE"""),TRUE)</f>
        <v>1</v>
      </c>
      <c r="AG64" t="str">
        <f ca="1">IFERROR(__xludf.DUMMYFUNCTION("""COMPUTED_VALUE"""),"Freestyle WeDo")</f>
        <v>Freestyle WeDo</v>
      </c>
    </row>
    <row r="65" spans="1:33" ht="13.2">
      <c r="A65">
        <f ca="1">IFERROR(__xludf.DUMMYFUNCTION("""COMPUTED_VALUE"""),65)</f>
        <v>65</v>
      </c>
      <c r="B65" t="str">
        <f ca="1">IFERROR(__xludf.DUMMYFUNCTION("""COMPUTED_VALUE"""),"Benátky nad Jizerou")</f>
        <v>Benátky nad Jizerou</v>
      </c>
      <c r="C65" t="str">
        <f ca="1">IFERROR(__xludf.DUMMYFUNCTION("""COMPUTED_VALUE"""),"ZŠ Otevřeno Benátky nad Jizerou")</f>
        <v>ZŠ Otevřeno Benátky nad Jizerou</v>
      </c>
      <c r="D65" t="str">
        <f ca="1">IFERROR(__xludf.DUMMYFUNCTION("""COMPUTED_VALUE"""),"ZŠ Otevřeno 1")</f>
        <v>ZŠ Otevřeno 1</v>
      </c>
      <c r="E65" t="str">
        <f ca="1">IFERROR(__xludf.DUMMYFUNCTION("""COMPUTED_VALUE"""),"---")</f>
        <v>---</v>
      </c>
      <c r="F65" t="str">
        <f ca="1">IFERROR(__xludf.DUMMYFUNCTION("""COMPUTED_VALUE"""),"")</f>
        <v/>
      </c>
      <c r="G65" t="str">
        <f ca="1">IFERROR(__xludf.DUMMYFUNCTION("""COMPUTED_VALUE"""),"---")</f>
        <v>---</v>
      </c>
      <c r="H65" t="str">
        <f ca="1">IFERROR(__xludf.DUMMYFUNCTION("""COMPUTED_VALUE"""),"")</f>
        <v/>
      </c>
      <c r="I65" t="str">
        <f ca="1">IFERROR(__xludf.DUMMYFUNCTION("""COMPUTED_VALUE"""),"---")</f>
        <v>---</v>
      </c>
      <c r="J65" t="str">
        <f ca="1">IFERROR(__xludf.DUMMYFUNCTION("""COMPUTED_VALUE"""),"")</f>
        <v/>
      </c>
      <c r="K65" t="str">
        <f ca="1">IFERROR(__xludf.DUMMYFUNCTION("""COMPUTED_VALUE"""),"")</f>
        <v/>
      </c>
      <c r="L65" t="str">
        <f ca="1">IFERROR(__xludf.DUMMYFUNCTION("""COMPUTED_VALUE"""),"")</f>
        <v/>
      </c>
      <c r="M65" t="str">
        <f ca="1">IFERROR(__xludf.DUMMYFUNCTION("""COMPUTED_VALUE"""),"")</f>
        <v/>
      </c>
      <c r="N65" t="str">
        <f ca="1">IFERROR(__xludf.DUMMYFUNCTION("""COMPUTED_VALUE"""),"")</f>
        <v/>
      </c>
      <c r="O65" s="158">
        <f ca="1">IFERROR(__xludf.DUMMYFUNCTION("""COMPUTED_VALUE"""),0.486111111111111)</f>
        <v>0.48611111111111099</v>
      </c>
      <c r="P65" t="str">
        <f ca="1">IFERROR(__xludf.DUMMYFUNCTION("""COMPUTED_VALUE"""),"B")</f>
        <v>B</v>
      </c>
      <c r="Q65" t="str">
        <f ca="1">IFERROR(__xludf.DUMMYFUNCTION("""COMPUTED_VALUE"""),"")</f>
        <v/>
      </c>
      <c r="R65" t="str">
        <f ca="1">IFERROR(__xludf.DUMMYFUNCTION("""COMPUTED_VALUE"""),"")</f>
        <v/>
      </c>
      <c r="S65" t="str">
        <f ca="1">IFERROR(__xludf.DUMMYFUNCTION("""COMPUTED_VALUE"""),"")</f>
        <v/>
      </c>
      <c r="T65" t="str">
        <f ca="1">IFERROR(__xludf.DUMMYFUNCTION("""COMPUTED_VALUE"""),"")</f>
        <v/>
      </c>
      <c r="U65" t="str">
        <f ca="1">IFERROR(__xludf.DUMMYFUNCTION("""COMPUTED_VALUE"""),"")</f>
        <v/>
      </c>
      <c r="V65" t="str">
        <f ca="1">IFERROR(__xludf.DUMMYFUNCTION("""COMPUTED_VALUE"""),"")</f>
        <v/>
      </c>
      <c r="W65" t="str">
        <f ca="1">IFERROR(__xludf.DUMMYFUNCTION("""COMPUTED_VALUE"""),"")</f>
        <v/>
      </c>
      <c r="X65" t="str">
        <f ca="1">IFERROR(__xludf.DUMMYFUNCTION("""COMPUTED_VALUE"""),"")</f>
        <v/>
      </c>
      <c r="Y65" t="str">
        <f ca="1">IFERROR(__xludf.DUMMYFUNCTION("""COMPUTED_VALUE"""),"ZŠ")</f>
        <v>ZŠ</v>
      </c>
      <c r="Z65" t="b">
        <f ca="1">IFERROR(__xludf.DUMMYFUNCTION("""COMPUTED_VALUE"""),FALSE)</f>
        <v>0</v>
      </c>
      <c r="AA65" t="b">
        <f ca="1">IFERROR(__xludf.DUMMYFUNCTION("""COMPUTED_VALUE"""),FALSE)</f>
        <v>0</v>
      </c>
      <c r="AB65" t="b">
        <f ca="1">IFERROR(__xludf.DUMMYFUNCTION("""COMPUTED_VALUE"""),TRUE)</f>
        <v>1</v>
      </c>
      <c r="AC65" t="b">
        <f ca="1">IFERROR(__xludf.DUMMYFUNCTION("""COMPUTED_VALUE"""),FALSE)</f>
        <v>0</v>
      </c>
      <c r="AD65" t="b">
        <f ca="1">IFERROR(__xludf.DUMMYFUNCTION("""COMPUTED_VALUE"""),FALSE)</f>
        <v>0</v>
      </c>
      <c r="AE65" t="b">
        <f ca="1">IFERROR(__xludf.DUMMYFUNCTION("""COMPUTED_VALUE"""),FALSE)</f>
        <v>0</v>
      </c>
      <c r="AF65" t="b">
        <f ca="1">IFERROR(__xludf.DUMMYFUNCTION("""COMPUTED_VALUE"""),FALSE)</f>
        <v>0</v>
      </c>
      <c r="AG65" t="str">
        <f ca="1">IFERROR(__xludf.DUMMYFUNCTION("""COMPUTED_VALUE"""),"Dálkový medvěd (bear rescue)")</f>
        <v>Dálkový medvěd (bear rescue)</v>
      </c>
    </row>
    <row r="66" spans="1:33" ht="13.2">
      <c r="A66">
        <f ca="1">IFERROR(__xludf.DUMMYFUNCTION("""COMPUTED_VALUE"""),66)</f>
        <v>66</v>
      </c>
      <c r="B66" t="str">
        <f ca="1">IFERROR(__xludf.DUMMYFUNCTION("""COMPUTED_VALUE"""),"Benátky nad Jizerou")</f>
        <v>Benátky nad Jizerou</v>
      </c>
      <c r="C66" t="str">
        <f ca="1">IFERROR(__xludf.DUMMYFUNCTION("""COMPUTED_VALUE"""),"ZŠ Otevřeno Benátky nad Jizerou")</f>
        <v>ZŠ Otevřeno Benátky nad Jizerou</v>
      </c>
      <c r="D66" t="str">
        <f ca="1">IFERROR(__xludf.DUMMYFUNCTION("""COMPUTED_VALUE"""),"ZŠ Otevřeno A")</f>
        <v>ZŠ Otevřeno A</v>
      </c>
      <c r="E66" t="str">
        <f ca="1">IFERROR(__xludf.DUMMYFUNCTION("""COMPUTED_VALUE"""),"---")</f>
        <v>---</v>
      </c>
      <c r="F66" t="str">
        <f ca="1">IFERROR(__xludf.DUMMYFUNCTION("""COMPUTED_VALUE"""),"")</f>
        <v/>
      </c>
      <c r="G66" t="str">
        <f ca="1">IFERROR(__xludf.DUMMYFUNCTION("""COMPUTED_VALUE"""),"---")</f>
        <v>---</v>
      </c>
      <c r="H66" t="str">
        <f ca="1">IFERROR(__xludf.DUMMYFUNCTION("""COMPUTED_VALUE"""),"")</f>
        <v/>
      </c>
      <c r="I66" t="str">
        <f ca="1">IFERROR(__xludf.DUMMYFUNCTION("""COMPUTED_VALUE"""),"---")</f>
        <v>---</v>
      </c>
      <c r="J66" t="str">
        <f ca="1">IFERROR(__xludf.DUMMYFUNCTION("""COMPUTED_VALUE"""),"")</f>
        <v/>
      </c>
      <c r="K66" t="str">
        <f ca="1">IFERROR(__xludf.DUMMYFUNCTION("""COMPUTED_VALUE"""),"")</f>
        <v/>
      </c>
      <c r="L66" t="str">
        <f ca="1">IFERROR(__xludf.DUMMYFUNCTION("""COMPUTED_VALUE"""),"")</f>
        <v/>
      </c>
      <c r="M66" t="str">
        <f ca="1">IFERROR(__xludf.DUMMYFUNCTION("""COMPUTED_VALUE"""),"")</f>
        <v/>
      </c>
      <c r="N66" t="str">
        <f ca="1">IFERROR(__xludf.DUMMYFUNCTION("""COMPUTED_VALUE"""),"")</f>
        <v/>
      </c>
      <c r="O66" s="158">
        <f ca="1">IFERROR(__xludf.DUMMYFUNCTION("""COMPUTED_VALUE"""),0.4875)</f>
        <v>0.48749999999999999</v>
      </c>
      <c r="P66" t="str">
        <f ca="1">IFERROR(__xludf.DUMMYFUNCTION("""COMPUTED_VALUE"""),"A")</f>
        <v>A</v>
      </c>
      <c r="Q66" t="str">
        <f ca="1">IFERROR(__xludf.DUMMYFUNCTION("""COMPUTED_VALUE"""),"")</f>
        <v/>
      </c>
      <c r="R66" t="str">
        <f ca="1">IFERROR(__xludf.DUMMYFUNCTION("""COMPUTED_VALUE"""),"")</f>
        <v/>
      </c>
      <c r="S66" t="str">
        <f ca="1">IFERROR(__xludf.DUMMYFUNCTION("""COMPUTED_VALUE"""),"")</f>
        <v/>
      </c>
      <c r="T66" t="str">
        <f ca="1">IFERROR(__xludf.DUMMYFUNCTION("""COMPUTED_VALUE"""),"")</f>
        <v/>
      </c>
      <c r="U66" t="str">
        <f ca="1">IFERROR(__xludf.DUMMYFUNCTION("""COMPUTED_VALUE"""),"")</f>
        <v/>
      </c>
      <c r="V66" t="str">
        <f ca="1">IFERROR(__xludf.DUMMYFUNCTION("""COMPUTED_VALUE"""),"")</f>
        <v/>
      </c>
      <c r="W66" t="str">
        <f ca="1">IFERROR(__xludf.DUMMYFUNCTION("""COMPUTED_VALUE"""),"")</f>
        <v/>
      </c>
      <c r="X66" t="str">
        <f ca="1">IFERROR(__xludf.DUMMYFUNCTION("""COMPUTED_VALUE"""),"")</f>
        <v/>
      </c>
      <c r="Y66" t="str">
        <f ca="1">IFERROR(__xludf.DUMMYFUNCTION("""COMPUTED_VALUE"""),"ZŠ")</f>
        <v>ZŠ</v>
      </c>
      <c r="Z66" t="b">
        <f ca="1">IFERROR(__xludf.DUMMYFUNCTION("""COMPUTED_VALUE"""),FALSE)</f>
        <v>0</v>
      </c>
      <c r="AA66" t="b">
        <f ca="1">IFERROR(__xludf.DUMMYFUNCTION("""COMPUTED_VALUE"""),FALSE)</f>
        <v>0</v>
      </c>
      <c r="AB66" t="b">
        <f ca="1">IFERROR(__xludf.DUMMYFUNCTION("""COMPUTED_VALUE"""),FALSE)</f>
        <v>0</v>
      </c>
      <c r="AC66" t="b">
        <f ca="1">IFERROR(__xludf.DUMMYFUNCTION("""COMPUTED_VALUE"""),FALSE)</f>
        <v>0</v>
      </c>
      <c r="AD66" t="b">
        <f ca="1">IFERROR(__xludf.DUMMYFUNCTION("""COMPUTED_VALUE"""),FALSE)</f>
        <v>0</v>
      </c>
      <c r="AE66" t="b">
        <f ca="1">IFERROR(__xludf.DUMMYFUNCTION("""COMPUTED_VALUE"""),FALSE)</f>
        <v>0</v>
      </c>
      <c r="AF66" t="b">
        <f ca="1">IFERROR(__xludf.DUMMYFUNCTION("""COMPUTED_VALUE"""),FALSE)</f>
        <v>0</v>
      </c>
      <c r="AG66" t="str">
        <f ca="1">IFERROR(__xludf.DUMMYFUNCTION("""COMPUTED_VALUE"""),"Dálkový medvěd (bear rescue)")</f>
        <v>Dálkový medvěd (bear rescue)</v>
      </c>
    </row>
    <row r="67" spans="1:33" ht="13.2">
      <c r="A67">
        <f ca="1">IFERROR(__xludf.DUMMYFUNCTION("""COMPUTED_VALUE"""),67)</f>
        <v>67</v>
      </c>
      <c r="B67" t="str">
        <f ca="1">IFERROR(__xludf.DUMMYFUNCTION("""COMPUTED_VALUE"""),"Benátky nad Jizerou")</f>
        <v>Benátky nad Jizerou</v>
      </c>
      <c r="C67" t="str">
        <f ca="1">IFERROR(__xludf.DUMMYFUNCTION("""COMPUTED_VALUE"""),"ZŠ Otevřeno Benátky nad Jizerou")</f>
        <v>ZŠ Otevřeno Benátky nad Jizerou</v>
      </c>
      <c r="D67" t="str">
        <f ca="1">IFERROR(__xludf.DUMMYFUNCTION("""COMPUTED_VALUE"""),"ZŠ Otevřeno - Čtyřboj")</f>
        <v>ZŠ Otevřeno - Čtyřboj</v>
      </c>
      <c r="E67" t="str">
        <f ca="1">IFERROR(__xludf.DUMMYFUNCTION("""COMPUTED_VALUE"""),"---")</f>
        <v>---</v>
      </c>
      <c r="F67" t="str">
        <f ca="1">IFERROR(__xludf.DUMMYFUNCTION("""COMPUTED_VALUE"""),"")</f>
        <v/>
      </c>
      <c r="G67" t="str">
        <f ca="1">IFERROR(__xludf.DUMMYFUNCTION("""COMPUTED_VALUE"""),"---")</f>
        <v>---</v>
      </c>
      <c r="H67" t="str">
        <f ca="1">IFERROR(__xludf.DUMMYFUNCTION("""COMPUTED_VALUE"""),"")</f>
        <v/>
      </c>
      <c r="I67" t="str">
        <f ca="1">IFERROR(__xludf.DUMMYFUNCTION("""COMPUTED_VALUE"""),"---")</f>
        <v>---</v>
      </c>
      <c r="J67" t="str">
        <f ca="1">IFERROR(__xludf.DUMMYFUNCTION("""COMPUTED_VALUE"""),"")</f>
        <v/>
      </c>
      <c r="K67" s="158">
        <f ca="1">IFERROR(__xludf.DUMMYFUNCTION("""COMPUTED_VALUE"""),0.447222222222222)</f>
        <v>0.44722222222222202</v>
      </c>
      <c r="L67" t="str">
        <f ca="1">IFERROR(__xludf.DUMMYFUNCTION("""COMPUTED_VALUE"""),"A")</f>
        <v>A</v>
      </c>
      <c r="M67" s="158">
        <f ca="1">IFERROR(__xludf.DUMMYFUNCTION("""COMPUTED_VALUE"""),0.5375)</f>
        <v>0.53749999999999998</v>
      </c>
      <c r="N67" t="str">
        <f ca="1">IFERROR(__xludf.DUMMYFUNCTION("""COMPUTED_VALUE"""),"A")</f>
        <v>A</v>
      </c>
      <c r="O67" t="str">
        <f ca="1">IFERROR(__xludf.DUMMYFUNCTION("""COMPUTED_VALUE"""),"")</f>
        <v/>
      </c>
      <c r="P67" t="str">
        <f ca="1">IFERROR(__xludf.DUMMYFUNCTION("""COMPUTED_VALUE"""),"")</f>
        <v/>
      </c>
      <c r="Q67" t="str">
        <f ca="1">IFERROR(__xludf.DUMMYFUNCTION("""COMPUTED_VALUE"""),"")</f>
        <v/>
      </c>
      <c r="R67" t="str">
        <f ca="1">IFERROR(__xludf.DUMMYFUNCTION("""COMPUTED_VALUE"""),"")</f>
        <v/>
      </c>
      <c r="S67" t="str">
        <f ca="1">IFERROR(__xludf.DUMMYFUNCTION("""COMPUTED_VALUE"""),"")</f>
        <v/>
      </c>
      <c r="T67" t="str">
        <f ca="1">IFERROR(__xludf.DUMMYFUNCTION("""COMPUTED_VALUE"""),"")</f>
        <v/>
      </c>
      <c r="U67" t="str">
        <f ca="1">IFERROR(__xludf.DUMMYFUNCTION("""COMPUTED_VALUE"""),"")</f>
        <v/>
      </c>
      <c r="V67" t="str">
        <f ca="1">IFERROR(__xludf.DUMMYFUNCTION("""COMPUTED_VALUE"""),"")</f>
        <v/>
      </c>
      <c r="W67" t="str">
        <f ca="1">IFERROR(__xludf.DUMMYFUNCTION("""COMPUTED_VALUE"""),"")</f>
        <v/>
      </c>
      <c r="X67" t="str">
        <f ca="1">IFERROR(__xludf.DUMMYFUNCTION("""COMPUTED_VALUE"""),"")</f>
        <v/>
      </c>
      <c r="Y67" t="str">
        <f ca="1">IFERROR(__xludf.DUMMYFUNCTION("""COMPUTED_VALUE"""),"ZŠ")</f>
        <v>ZŠ</v>
      </c>
      <c r="Z67" s="158" t="b">
        <f ca="1">IFERROR(__xludf.DUMMYFUNCTION("""COMPUTED_VALUE"""),FALSE)</f>
        <v>0</v>
      </c>
      <c r="AA67" t="b">
        <f ca="1">IFERROR(__xludf.DUMMYFUNCTION("""COMPUTED_VALUE"""),TRUE)</f>
        <v>1</v>
      </c>
      <c r="AB67" t="b">
        <f ca="1">IFERROR(__xludf.DUMMYFUNCTION("""COMPUTED_VALUE"""),FALSE)</f>
        <v>0</v>
      </c>
      <c r="AC67" t="b">
        <f ca="1">IFERROR(__xludf.DUMMYFUNCTION("""COMPUTED_VALUE"""),FALSE)</f>
        <v>0</v>
      </c>
      <c r="AD67" t="b">
        <f ca="1">IFERROR(__xludf.DUMMYFUNCTION("""COMPUTED_VALUE"""),FALSE)</f>
        <v>0</v>
      </c>
      <c r="AE67" t="b">
        <f ca="1">IFERROR(__xludf.DUMMYFUNCTION("""COMPUTED_VALUE"""),FALSE)</f>
        <v>0</v>
      </c>
      <c r="AF67" t="b">
        <f ca="1">IFERROR(__xludf.DUMMYFUNCTION("""COMPUTED_VALUE"""),FALSE)</f>
        <v>0</v>
      </c>
      <c r="AG67" t="str">
        <f ca="1">IFERROR(__xludf.DUMMYFUNCTION("""COMPUTED_VALUE"""),"Autonomní medvěd (bear rescue advance)")</f>
        <v>Autonomní medvěd (bear rescue advance)</v>
      </c>
    </row>
    <row r="68" spans="1:33" ht="13.2">
      <c r="A68">
        <f ca="1">IFERROR(__xludf.DUMMYFUNCTION("""COMPUTED_VALUE"""),68)</f>
        <v>68</v>
      </c>
      <c r="B68" t="str">
        <f ca="1">IFERROR(__xludf.DUMMYFUNCTION("""COMPUTED_VALUE"""),"Zábřeh")</f>
        <v>Zábřeh</v>
      </c>
      <c r="C68" t="str">
        <f ca="1">IFERROR(__xludf.DUMMYFUNCTION("""COMPUTED_VALUE"""),"ZŠ a DDM Krasohled Zábřeh ")</f>
        <v xml:space="preserve">ZŠ a DDM Krasohled Zábřeh </v>
      </c>
      <c r="D68" t="str">
        <f ca="1">IFERROR(__xludf.DUMMYFUNCTION("""COMPUTED_VALUE"""),"Krasohled1")</f>
        <v>Krasohled1</v>
      </c>
      <c r="E68" t="str">
        <f ca="1">IFERROR(__xludf.DUMMYFUNCTION("""COMPUTED_VALUE"""),"---")</f>
        <v>---</v>
      </c>
      <c r="F68" t="str">
        <f ca="1">IFERROR(__xludf.DUMMYFUNCTION("""COMPUTED_VALUE"""),"")</f>
        <v/>
      </c>
      <c r="G68" t="str">
        <f ca="1">IFERROR(__xludf.DUMMYFUNCTION("""COMPUTED_VALUE"""),"---")</f>
        <v>---</v>
      </c>
      <c r="H68" t="str">
        <f ca="1">IFERROR(__xludf.DUMMYFUNCTION("""COMPUTED_VALUE"""),"")</f>
        <v/>
      </c>
      <c r="I68" t="str">
        <f ca="1">IFERROR(__xludf.DUMMYFUNCTION("""COMPUTED_VALUE"""),"---")</f>
        <v>---</v>
      </c>
      <c r="J68" t="str">
        <f ca="1">IFERROR(__xludf.DUMMYFUNCTION("""COMPUTED_VALUE"""),"")</f>
        <v/>
      </c>
      <c r="K68" t="str">
        <f ca="1">IFERROR(__xludf.DUMMYFUNCTION("""COMPUTED_VALUE"""),"")</f>
        <v/>
      </c>
      <c r="L68" t="str">
        <f ca="1">IFERROR(__xludf.DUMMYFUNCTION("""COMPUTED_VALUE"""),"")</f>
        <v/>
      </c>
      <c r="M68" t="str">
        <f ca="1">IFERROR(__xludf.DUMMYFUNCTION("""COMPUTED_VALUE"""),"")</f>
        <v/>
      </c>
      <c r="N68" t="str">
        <f ca="1">IFERROR(__xludf.DUMMYFUNCTION("""COMPUTED_VALUE"""),"")</f>
        <v/>
      </c>
      <c r="O68" t="str">
        <f ca="1">IFERROR(__xludf.DUMMYFUNCTION("""COMPUTED_VALUE"""),"")</f>
        <v/>
      </c>
      <c r="P68" t="str">
        <f ca="1">IFERROR(__xludf.DUMMYFUNCTION("""COMPUTED_VALUE"""),"")</f>
        <v/>
      </c>
      <c r="Q68" s="158">
        <f ca="1">IFERROR(__xludf.DUMMYFUNCTION("""COMPUTED_VALUE"""),0.509722222222222)</f>
        <v>0.50972222222222197</v>
      </c>
      <c r="R68" t="str">
        <f ca="1">IFERROR(__xludf.DUMMYFUNCTION("""COMPUTED_VALUE"""),"A")</f>
        <v>A</v>
      </c>
      <c r="S68" s="158">
        <f ca="1">IFERROR(__xludf.DUMMYFUNCTION("""COMPUTED_VALUE"""),0.547916666666666)</f>
        <v>0.54791666666666605</v>
      </c>
      <c r="T68" t="str">
        <f ca="1">IFERROR(__xludf.DUMMYFUNCTION("""COMPUTED_VALUE"""),"A")</f>
        <v>A</v>
      </c>
      <c r="U68" t="str">
        <f ca="1">IFERROR(__xludf.DUMMYFUNCTION("""COMPUTED_VALUE"""),"")</f>
        <v/>
      </c>
      <c r="V68" t="str">
        <f ca="1">IFERROR(__xludf.DUMMYFUNCTION("""COMPUTED_VALUE"""),"")</f>
        <v/>
      </c>
      <c r="W68" t="str">
        <f ca="1">IFERROR(__xludf.DUMMYFUNCTION("""COMPUTED_VALUE"""),"")</f>
        <v/>
      </c>
      <c r="X68" t="str">
        <f ca="1">IFERROR(__xludf.DUMMYFUNCTION("""COMPUTED_VALUE"""),"")</f>
        <v/>
      </c>
      <c r="Y68" t="str">
        <f ca="1">IFERROR(__xludf.DUMMYFUNCTION("""COMPUTED_VALUE"""),"ZŠ")</f>
        <v>ZŠ</v>
      </c>
      <c r="Z68" s="158" t="b">
        <f ca="1">IFERROR(__xludf.DUMMYFUNCTION("""COMPUTED_VALUE"""),FALSE)</f>
        <v>0</v>
      </c>
      <c r="AA68" t="b">
        <f ca="1">IFERROR(__xludf.DUMMYFUNCTION("""COMPUTED_VALUE"""),FALSE)</f>
        <v>0</v>
      </c>
      <c r="AB68" t="b">
        <f ca="1">IFERROR(__xludf.DUMMYFUNCTION("""COMPUTED_VALUE"""),FALSE)</f>
        <v>0</v>
      </c>
      <c r="AC68" t="b">
        <f ca="1">IFERROR(__xludf.DUMMYFUNCTION("""COMPUTED_VALUE"""),TRUE)</f>
        <v>1</v>
      </c>
      <c r="AD68" t="b">
        <f ca="1">IFERROR(__xludf.DUMMYFUNCTION("""COMPUTED_VALUE"""),FALSE)</f>
        <v>0</v>
      </c>
      <c r="AE68" t="b">
        <f ca="1">IFERROR(__xludf.DUMMYFUNCTION("""COMPUTED_VALUE"""),FALSE)</f>
        <v>0</v>
      </c>
      <c r="AF68" t="b">
        <f ca="1">IFERROR(__xludf.DUMMYFUNCTION("""COMPUTED_VALUE"""),FALSE)</f>
        <v>0</v>
      </c>
      <c r="AG68" t="str">
        <f ca="1">IFERROR(__xludf.DUMMYFUNCTION("""COMPUTED_VALUE"""),"Sprint - LEGO (drag race - Lego)")</f>
        <v>Sprint - LEGO (drag race - Lego)</v>
      </c>
    </row>
    <row r="69" spans="1:33" ht="13.2">
      <c r="A69">
        <f ca="1">IFERROR(__xludf.DUMMYFUNCTION("""COMPUTED_VALUE"""),69)</f>
        <v>69</v>
      </c>
      <c r="B69" t="str">
        <f ca="1">IFERROR(__xludf.DUMMYFUNCTION("""COMPUTED_VALUE"""),"Zábřeh")</f>
        <v>Zábřeh</v>
      </c>
      <c r="C69" t="str">
        <f ca="1">IFERROR(__xludf.DUMMYFUNCTION("""COMPUTED_VALUE"""),"ZŠ a DDM Krasohled Zábřeh ")</f>
        <v xml:space="preserve">ZŠ a DDM Krasohled Zábřeh </v>
      </c>
      <c r="D69" t="str">
        <f ca="1">IFERROR(__xludf.DUMMYFUNCTION("""COMPUTED_VALUE"""),"Krasohled2")</f>
        <v>Krasohled2</v>
      </c>
      <c r="E69" t="str">
        <f ca="1">IFERROR(__xludf.DUMMYFUNCTION("""COMPUTED_VALUE"""),"---")</f>
        <v>---</v>
      </c>
      <c r="F69" t="str">
        <f ca="1">IFERROR(__xludf.DUMMYFUNCTION("""COMPUTED_VALUE"""),"")</f>
        <v/>
      </c>
      <c r="G69" t="str">
        <f ca="1">IFERROR(__xludf.DUMMYFUNCTION("""COMPUTED_VALUE"""),"---")</f>
        <v>---</v>
      </c>
      <c r="H69" t="str">
        <f ca="1">IFERROR(__xludf.DUMMYFUNCTION("""COMPUTED_VALUE"""),"")</f>
        <v/>
      </c>
      <c r="I69" t="str">
        <f ca="1">IFERROR(__xludf.DUMMYFUNCTION("""COMPUTED_VALUE"""),"---")</f>
        <v>---</v>
      </c>
      <c r="J69" t="str">
        <f ca="1">IFERROR(__xludf.DUMMYFUNCTION("""COMPUTED_VALUE"""),"")</f>
        <v/>
      </c>
      <c r="K69" t="str">
        <f ca="1">IFERROR(__xludf.DUMMYFUNCTION("""COMPUTED_VALUE"""),"")</f>
        <v/>
      </c>
      <c r="L69" t="str">
        <f ca="1">IFERROR(__xludf.DUMMYFUNCTION("""COMPUTED_VALUE"""),"")</f>
        <v/>
      </c>
      <c r="M69" t="str">
        <f ca="1">IFERROR(__xludf.DUMMYFUNCTION("""COMPUTED_VALUE"""),"")</f>
        <v/>
      </c>
      <c r="N69" t="str">
        <f ca="1">IFERROR(__xludf.DUMMYFUNCTION("""COMPUTED_VALUE"""),"")</f>
        <v/>
      </c>
      <c r="O69" s="158">
        <f ca="1">IFERROR(__xludf.DUMMYFUNCTION("""COMPUTED_VALUE"""),0.4875)</f>
        <v>0.48749999999999999</v>
      </c>
      <c r="P69" t="str">
        <f ca="1">IFERROR(__xludf.DUMMYFUNCTION("""COMPUTED_VALUE"""),"B")</f>
        <v>B</v>
      </c>
      <c r="Q69" t="str">
        <f ca="1">IFERROR(__xludf.DUMMYFUNCTION("""COMPUTED_VALUE"""),"")</f>
        <v/>
      </c>
      <c r="R69" t="str">
        <f ca="1">IFERROR(__xludf.DUMMYFUNCTION("""COMPUTED_VALUE"""),"")</f>
        <v/>
      </c>
      <c r="S69" t="str">
        <f ca="1">IFERROR(__xludf.DUMMYFUNCTION("""COMPUTED_VALUE"""),"")</f>
        <v/>
      </c>
      <c r="T69" t="str">
        <f ca="1">IFERROR(__xludf.DUMMYFUNCTION("""COMPUTED_VALUE"""),"")</f>
        <v/>
      </c>
      <c r="U69" t="str">
        <f ca="1">IFERROR(__xludf.DUMMYFUNCTION("""COMPUTED_VALUE"""),"")</f>
        <v/>
      </c>
      <c r="V69" t="str">
        <f ca="1">IFERROR(__xludf.DUMMYFUNCTION("""COMPUTED_VALUE"""),"")</f>
        <v/>
      </c>
      <c r="W69" t="str">
        <f ca="1">IFERROR(__xludf.DUMMYFUNCTION("""COMPUTED_VALUE"""),"")</f>
        <v/>
      </c>
      <c r="X69" t="str">
        <f ca="1">IFERROR(__xludf.DUMMYFUNCTION("""COMPUTED_VALUE"""),"")</f>
        <v/>
      </c>
      <c r="Y69" t="str">
        <f ca="1">IFERROR(__xludf.DUMMYFUNCTION("""COMPUTED_VALUE"""),"ZŠ")</f>
        <v>ZŠ</v>
      </c>
      <c r="Z69" s="158" t="b">
        <f ca="1">IFERROR(__xludf.DUMMYFUNCTION("""COMPUTED_VALUE"""),FALSE)</f>
        <v>0</v>
      </c>
      <c r="AA69" t="b">
        <f ca="1">IFERROR(__xludf.DUMMYFUNCTION("""COMPUTED_VALUE"""),FALSE)</f>
        <v>0</v>
      </c>
      <c r="AB69" t="b">
        <f ca="1">IFERROR(__xludf.DUMMYFUNCTION("""COMPUTED_VALUE"""),TRUE)</f>
        <v>1</v>
      </c>
      <c r="AC69" t="b">
        <f ca="1">IFERROR(__xludf.DUMMYFUNCTION("""COMPUTED_VALUE"""),FALSE)</f>
        <v>0</v>
      </c>
      <c r="AD69" t="b">
        <f ca="1">IFERROR(__xludf.DUMMYFUNCTION("""COMPUTED_VALUE"""),FALSE)</f>
        <v>0</v>
      </c>
      <c r="AE69" t="b">
        <f ca="1">IFERROR(__xludf.DUMMYFUNCTION("""COMPUTED_VALUE"""),FALSE)</f>
        <v>0</v>
      </c>
      <c r="AF69" t="b">
        <f ca="1">IFERROR(__xludf.DUMMYFUNCTION("""COMPUTED_VALUE"""),FALSE)</f>
        <v>0</v>
      </c>
      <c r="AG69" t="str">
        <f ca="1">IFERROR(__xludf.DUMMYFUNCTION("""COMPUTED_VALUE"""),"Dálkový medvěd (bear rescue)")</f>
        <v>Dálkový medvěd (bear rescue)</v>
      </c>
    </row>
    <row r="70" spans="1:33" ht="13.2">
      <c r="A70">
        <f ca="1">IFERROR(__xludf.DUMMYFUNCTION("""COMPUTED_VALUE"""),70)</f>
        <v>70</v>
      </c>
      <c r="B70" t="str">
        <f ca="1">IFERROR(__xludf.DUMMYFUNCTION("""COMPUTED_VALUE"""),"Zábřeh")</f>
        <v>Zábřeh</v>
      </c>
      <c r="C70" t="str">
        <f ca="1">IFERROR(__xludf.DUMMYFUNCTION("""COMPUTED_VALUE"""),"ZŠ a DDM Krasohled Zábřeh ")</f>
        <v xml:space="preserve">ZŠ a DDM Krasohled Zábřeh </v>
      </c>
      <c r="D70" t="str">
        <f ca="1">IFERROR(__xludf.DUMMYFUNCTION("""COMPUTED_VALUE"""),"Krasohled3")</f>
        <v>Krasohled3</v>
      </c>
      <c r="E70" s="158">
        <f ca="1">IFERROR(__xludf.DUMMYFUNCTION("""COMPUTED_VALUE"""),0.420138888888888)</f>
        <v>0.42013888888888801</v>
      </c>
      <c r="F70" t="str">
        <f ca="1">IFERROR(__xludf.DUMMYFUNCTION("""COMPUTED_VALUE"""),"A")</f>
        <v>A</v>
      </c>
      <c r="G70" s="158">
        <f ca="1">IFERROR(__xludf.DUMMYFUNCTION("""COMPUTED_VALUE"""),0.490277777777777)</f>
        <v>0.49027777777777698</v>
      </c>
      <c r="H70" t="str">
        <f ca="1">IFERROR(__xludf.DUMMYFUNCTION("""COMPUTED_VALUE"""),"A")</f>
        <v>A</v>
      </c>
      <c r="I70" s="158">
        <f ca="1">IFERROR(__xludf.DUMMYFUNCTION("""COMPUTED_VALUE"""),0.565277777777777)</f>
        <v>0.56527777777777699</v>
      </c>
      <c r="J70" t="str">
        <f ca="1">IFERROR(__xludf.DUMMYFUNCTION("""COMPUTED_VALUE"""),"A")</f>
        <v>A</v>
      </c>
      <c r="K70" t="str">
        <f ca="1">IFERROR(__xludf.DUMMYFUNCTION("""COMPUTED_VALUE"""),"")</f>
        <v/>
      </c>
      <c r="L70" t="str">
        <f ca="1">IFERROR(__xludf.DUMMYFUNCTION("""COMPUTED_VALUE"""),"")</f>
        <v/>
      </c>
      <c r="M70" t="str">
        <f ca="1">IFERROR(__xludf.DUMMYFUNCTION("""COMPUTED_VALUE"""),"")</f>
        <v/>
      </c>
      <c r="N70" t="str">
        <f ca="1">IFERROR(__xludf.DUMMYFUNCTION("""COMPUTED_VALUE"""),"")</f>
        <v/>
      </c>
      <c r="O70" t="str">
        <f ca="1">IFERROR(__xludf.DUMMYFUNCTION("""COMPUTED_VALUE"""),"")</f>
        <v/>
      </c>
      <c r="P70" t="str">
        <f ca="1">IFERROR(__xludf.DUMMYFUNCTION("""COMPUTED_VALUE"""),"")</f>
        <v/>
      </c>
      <c r="Q70" t="str">
        <f ca="1">IFERROR(__xludf.DUMMYFUNCTION("""COMPUTED_VALUE"""),"")</f>
        <v/>
      </c>
      <c r="R70" t="str">
        <f ca="1">IFERROR(__xludf.DUMMYFUNCTION("""COMPUTED_VALUE"""),"")</f>
        <v/>
      </c>
      <c r="S70" t="str">
        <f ca="1">IFERROR(__xludf.DUMMYFUNCTION("""COMPUTED_VALUE"""),"")</f>
        <v/>
      </c>
      <c r="T70" t="str">
        <f ca="1">IFERROR(__xludf.DUMMYFUNCTION("""COMPUTED_VALUE"""),"")</f>
        <v/>
      </c>
      <c r="U70" t="str">
        <f ca="1">IFERROR(__xludf.DUMMYFUNCTION("""COMPUTED_VALUE"""),"")</f>
        <v/>
      </c>
      <c r="V70" t="str">
        <f ca="1">IFERROR(__xludf.DUMMYFUNCTION("""COMPUTED_VALUE"""),"")</f>
        <v/>
      </c>
      <c r="W70" t="str">
        <f ca="1">IFERROR(__xludf.DUMMYFUNCTION("""COMPUTED_VALUE"""),"")</f>
        <v/>
      </c>
      <c r="X70" t="str">
        <f ca="1">IFERROR(__xludf.DUMMYFUNCTION("""COMPUTED_VALUE"""),"")</f>
        <v/>
      </c>
      <c r="Y70" t="str">
        <f ca="1">IFERROR(__xludf.DUMMYFUNCTION("""COMPUTED_VALUE"""),"ZŠ")</f>
        <v>ZŠ</v>
      </c>
      <c r="Z70" t="b">
        <f ca="1">IFERROR(__xludf.DUMMYFUNCTION("""COMPUTED_VALUE"""),TRUE)</f>
        <v>1</v>
      </c>
      <c r="AA70" t="b">
        <f ca="1">IFERROR(__xludf.DUMMYFUNCTION("""COMPUTED_VALUE"""),FALSE)</f>
        <v>0</v>
      </c>
      <c r="AB70" t="b">
        <f ca="1">IFERROR(__xludf.DUMMYFUNCTION("""COMPUTED_VALUE"""),FALSE)</f>
        <v>0</v>
      </c>
      <c r="AC70" t="b">
        <f ca="1">IFERROR(__xludf.DUMMYFUNCTION("""COMPUTED_VALUE"""),FALSE)</f>
        <v>0</v>
      </c>
      <c r="AD70" t="b">
        <f ca="1">IFERROR(__xludf.DUMMYFUNCTION("""COMPUTED_VALUE"""),FALSE)</f>
        <v>0</v>
      </c>
      <c r="AE70" t="b">
        <f ca="1">IFERROR(__xludf.DUMMYFUNCTION("""COMPUTED_VALUE"""),FALSE)</f>
        <v>0</v>
      </c>
      <c r="AF70" t="b">
        <f ca="1">IFERROR(__xludf.DUMMYFUNCTION("""COMPUTED_VALUE"""),FALSE)</f>
        <v>0</v>
      </c>
      <c r="AG70" t="str">
        <f ca="1">IFERROR(__xludf.DUMMYFUNCTION("""COMPUTED_VALUE"""),"Čára (line follower)")</f>
        <v>Čára (line follower)</v>
      </c>
    </row>
    <row r="71" spans="1:33" ht="13.2">
      <c r="A71">
        <f ca="1">IFERROR(__xludf.DUMMYFUNCTION("""COMPUTED_VALUE"""),71)</f>
        <v>71</v>
      </c>
      <c r="B71" t="str">
        <f ca="1">IFERROR(__xludf.DUMMYFUNCTION("""COMPUTED_VALUE"""),"Nové Zámky ")</f>
        <v xml:space="preserve">Nové Zámky </v>
      </c>
      <c r="C71" t="str">
        <f ca="1">IFERROR(__xludf.DUMMYFUNCTION("""COMPUTED_VALUE"""),"ZŠ Nové Zámky, Nábrežná 95,")</f>
        <v>ZŠ Nové Zámky, Nábrežná 95,</v>
      </c>
      <c r="D71" t="str">
        <f ca="1">IFERROR(__xludf.DUMMYFUNCTION("""COMPUTED_VALUE"""),"Programmers")</f>
        <v>Programmers</v>
      </c>
      <c r="E71" t="str">
        <f ca="1">IFERROR(__xludf.DUMMYFUNCTION("""COMPUTED_VALUE"""),"---")</f>
        <v>---</v>
      </c>
      <c r="F71" t="str">
        <f ca="1">IFERROR(__xludf.DUMMYFUNCTION("""COMPUTED_VALUE"""),"")</f>
        <v/>
      </c>
      <c r="G71" t="str">
        <f ca="1">IFERROR(__xludf.DUMMYFUNCTION("""COMPUTED_VALUE"""),"---")</f>
        <v>---</v>
      </c>
      <c r="H71" t="str">
        <f ca="1">IFERROR(__xludf.DUMMYFUNCTION("""COMPUTED_VALUE"""),"")</f>
        <v/>
      </c>
      <c r="I71" t="str">
        <f ca="1">IFERROR(__xludf.DUMMYFUNCTION("""COMPUTED_VALUE"""),"---")</f>
        <v>---</v>
      </c>
      <c r="J71" t="str">
        <f ca="1">IFERROR(__xludf.DUMMYFUNCTION("""COMPUTED_VALUE"""),"")</f>
        <v/>
      </c>
      <c r="K71" s="158">
        <f ca="1">IFERROR(__xludf.DUMMYFUNCTION("""COMPUTED_VALUE"""),0.447222222222222)</f>
        <v>0.44722222222222202</v>
      </c>
      <c r="L71" t="str">
        <f ca="1">IFERROR(__xludf.DUMMYFUNCTION("""COMPUTED_VALUE"""),"B")</f>
        <v>B</v>
      </c>
      <c r="M71" s="158">
        <f ca="1">IFERROR(__xludf.DUMMYFUNCTION("""COMPUTED_VALUE"""),0.5375)</f>
        <v>0.53749999999999998</v>
      </c>
      <c r="N71" t="str">
        <f ca="1">IFERROR(__xludf.DUMMYFUNCTION("""COMPUTED_VALUE"""),"B")</f>
        <v>B</v>
      </c>
      <c r="O71" s="158">
        <f ca="1">IFERROR(__xludf.DUMMYFUNCTION("""COMPUTED_VALUE"""),0.488888888888888)</f>
        <v>0.48888888888888798</v>
      </c>
      <c r="P71" t="str">
        <f ca="1">IFERROR(__xludf.DUMMYFUNCTION("""COMPUTED_VALUE"""),"A")</f>
        <v>A</v>
      </c>
      <c r="Q71" s="158">
        <f ca="1">IFERROR(__xludf.DUMMYFUNCTION("""COMPUTED_VALUE"""),0.509722222222222)</f>
        <v>0.50972222222222197</v>
      </c>
      <c r="R71" t="str">
        <f ca="1">IFERROR(__xludf.DUMMYFUNCTION("""COMPUTED_VALUE"""),"B")</f>
        <v>B</v>
      </c>
      <c r="S71" s="158">
        <f ca="1">IFERROR(__xludf.DUMMYFUNCTION("""COMPUTED_VALUE"""),0.547916666666666)</f>
        <v>0.54791666666666605</v>
      </c>
      <c r="T71" t="str">
        <f ca="1">IFERROR(__xludf.DUMMYFUNCTION("""COMPUTED_VALUE"""),"B")</f>
        <v>B</v>
      </c>
      <c r="U71" t="str">
        <f ca="1">IFERROR(__xludf.DUMMYFUNCTION("""COMPUTED_VALUE"""),"")</f>
        <v/>
      </c>
      <c r="V71" t="str">
        <f ca="1">IFERROR(__xludf.DUMMYFUNCTION("""COMPUTED_VALUE"""),"")</f>
        <v/>
      </c>
      <c r="W71" t="str">
        <f ca="1">IFERROR(__xludf.DUMMYFUNCTION("""COMPUTED_VALUE"""),"")</f>
        <v/>
      </c>
      <c r="X71" t="str">
        <f ca="1">IFERROR(__xludf.DUMMYFUNCTION("""COMPUTED_VALUE"""),"")</f>
        <v/>
      </c>
      <c r="Y71" t="str">
        <f ca="1">IFERROR(__xludf.DUMMYFUNCTION("""COMPUTED_VALUE"""),"ZŠ")</f>
        <v>ZŠ</v>
      </c>
      <c r="Z71" s="158" t="b">
        <f ca="1">IFERROR(__xludf.DUMMYFUNCTION("""COMPUTED_VALUE"""),FALSE)</f>
        <v>0</v>
      </c>
      <c r="AA71" t="b">
        <f ca="1">IFERROR(__xludf.DUMMYFUNCTION("""COMPUTED_VALUE"""),TRUE)</f>
        <v>1</v>
      </c>
      <c r="AB71" t="b">
        <f ca="1">IFERROR(__xludf.DUMMYFUNCTION("""COMPUTED_VALUE"""),TRUE)</f>
        <v>1</v>
      </c>
      <c r="AC71" t="b">
        <f ca="1">IFERROR(__xludf.DUMMYFUNCTION("""COMPUTED_VALUE"""),TRUE)</f>
        <v>1</v>
      </c>
      <c r="AD71" t="b">
        <f ca="1">IFERROR(__xludf.DUMMYFUNCTION("""COMPUTED_VALUE"""),FALSE)</f>
        <v>0</v>
      </c>
      <c r="AE71" t="b">
        <f ca="1">IFERROR(__xludf.DUMMYFUNCTION("""COMPUTED_VALUE"""),TRUE)</f>
        <v>1</v>
      </c>
      <c r="AF71" t="b">
        <f ca="1">IFERROR(__xludf.DUMMYFUNCTION("""COMPUTED_VALUE"""),FALSE)</f>
        <v>0</v>
      </c>
      <c r="AG71" t="str">
        <f ca="1">IFERROR(__xludf.DUMMYFUNCTION("""COMPUTED_VALUE"""),"Dálkový medvěd (bear rescue), Autonomní medvěd (bear rescue advance), Sprint - LEGO (drag race - Lego), Freestyle")</f>
        <v>Dálkový medvěd (bear rescue), Autonomní medvěd (bear rescue advance), Sprint - LEGO (drag race - Lego), Freestyle</v>
      </c>
    </row>
    <row r="72" spans="1:33" ht="13.2">
      <c r="A72">
        <f ca="1">IFERROR(__xludf.DUMMYFUNCTION("""COMPUTED_VALUE"""),72)</f>
        <v>72</v>
      </c>
      <c r="B72" t="str">
        <f ca="1">IFERROR(__xludf.DUMMYFUNCTION("""COMPUTED_VALUE"""),"Nové Zámky ")</f>
        <v xml:space="preserve">Nové Zámky </v>
      </c>
      <c r="C72" t="str">
        <f ca="1">IFERROR(__xludf.DUMMYFUNCTION("""COMPUTED_VALUE"""),"ZŠ Nové Zámky, Nábrežná 95,")</f>
        <v>ZŠ Nové Zámky, Nábrežná 95,</v>
      </c>
      <c r="D72" t="str">
        <f ca="1">IFERROR(__xludf.DUMMYFUNCTION("""COMPUTED_VALUE"""),"Programmers 2")</f>
        <v>Programmers 2</v>
      </c>
      <c r="E72" t="str">
        <f ca="1">IFERROR(__xludf.DUMMYFUNCTION("""COMPUTED_VALUE"""),"---")</f>
        <v>---</v>
      </c>
      <c r="F72" t="str">
        <f ca="1">IFERROR(__xludf.DUMMYFUNCTION("""COMPUTED_VALUE"""),"")</f>
        <v/>
      </c>
      <c r="G72" t="str">
        <f ca="1">IFERROR(__xludf.DUMMYFUNCTION("""COMPUTED_VALUE"""),"---")</f>
        <v>---</v>
      </c>
      <c r="H72" t="str">
        <f ca="1">IFERROR(__xludf.DUMMYFUNCTION("""COMPUTED_VALUE"""),"")</f>
        <v/>
      </c>
      <c r="I72" t="str">
        <f ca="1">IFERROR(__xludf.DUMMYFUNCTION("""COMPUTED_VALUE"""),"---")</f>
        <v>---</v>
      </c>
      <c r="J72" t="str">
        <f ca="1">IFERROR(__xludf.DUMMYFUNCTION("""COMPUTED_VALUE"""),"")</f>
        <v/>
      </c>
      <c r="K72" t="str">
        <f ca="1">IFERROR(__xludf.DUMMYFUNCTION("""COMPUTED_VALUE"""),"")</f>
        <v/>
      </c>
      <c r="L72" t="str">
        <f ca="1">IFERROR(__xludf.DUMMYFUNCTION("""COMPUTED_VALUE"""),"")</f>
        <v/>
      </c>
      <c r="M72" t="str">
        <f ca="1">IFERROR(__xludf.DUMMYFUNCTION("""COMPUTED_VALUE"""),"")</f>
        <v/>
      </c>
      <c r="N72" t="str">
        <f ca="1">IFERROR(__xludf.DUMMYFUNCTION("""COMPUTED_VALUE"""),"")</f>
        <v/>
      </c>
      <c r="O72" t="str">
        <f ca="1">IFERROR(__xludf.DUMMYFUNCTION("""COMPUTED_VALUE"""),"")</f>
        <v/>
      </c>
      <c r="P72" t="str">
        <f ca="1">IFERROR(__xludf.DUMMYFUNCTION("""COMPUTED_VALUE"""),"")</f>
        <v/>
      </c>
      <c r="Q72" t="str">
        <f ca="1">IFERROR(__xludf.DUMMYFUNCTION("""COMPUTED_VALUE"""),"")</f>
        <v/>
      </c>
      <c r="R72" t="str">
        <f ca="1">IFERROR(__xludf.DUMMYFUNCTION("""COMPUTED_VALUE"""),"")</f>
        <v/>
      </c>
      <c r="S72" t="str">
        <f ca="1">IFERROR(__xludf.DUMMYFUNCTION("""COMPUTED_VALUE"""),"")</f>
        <v/>
      </c>
      <c r="T72" t="str">
        <f ca="1">IFERROR(__xludf.DUMMYFUNCTION("""COMPUTED_VALUE"""),"")</f>
        <v/>
      </c>
      <c r="U72" t="str">
        <f ca="1">IFERROR(__xludf.DUMMYFUNCTION("""COMPUTED_VALUE"""),"")</f>
        <v/>
      </c>
      <c r="V72" t="str">
        <f ca="1">IFERROR(__xludf.DUMMYFUNCTION("""COMPUTED_VALUE"""),"")</f>
        <v/>
      </c>
      <c r="W72" t="str">
        <f ca="1">IFERROR(__xludf.DUMMYFUNCTION("""COMPUTED_VALUE"""),"")</f>
        <v/>
      </c>
      <c r="X72" t="str">
        <f ca="1">IFERROR(__xludf.DUMMYFUNCTION("""COMPUTED_VALUE"""),"")</f>
        <v/>
      </c>
      <c r="Y72" t="str">
        <f ca="1">IFERROR(__xludf.DUMMYFUNCTION("""COMPUTED_VALUE"""),"ZŠ")</f>
        <v>ZŠ</v>
      </c>
      <c r="Z72" s="158" t="b">
        <f ca="1">IFERROR(__xludf.DUMMYFUNCTION("""COMPUTED_VALUE"""),FALSE)</f>
        <v>0</v>
      </c>
      <c r="AA72" t="b">
        <f ca="1">IFERROR(__xludf.DUMMYFUNCTION("""COMPUTED_VALUE"""),FALSE)</f>
        <v>0</v>
      </c>
      <c r="AB72" t="b">
        <f ca="1">IFERROR(__xludf.DUMMYFUNCTION("""COMPUTED_VALUE"""),FALSE)</f>
        <v>0</v>
      </c>
      <c r="AC72" t="b">
        <f ca="1">IFERROR(__xludf.DUMMYFUNCTION("""COMPUTED_VALUE"""),FALSE)</f>
        <v>0</v>
      </c>
      <c r="AD72" t="b">
        <f ca="1">IFERROR(__xludf.DUMMYFUNCTION("""COMPUTED_VALUE"""),FALSE)</f>
        <v>0</v>
      </c>
      <c r="AE72" t="b">
        <f ca="1">IFERROR(__xludf.DUMMYFUNCTION("""COMPUTED_VALUE"""),TRUE)</f>
        <v>1</v>
      </c>
      <c r="AF72" t="b">
        <f ca="1">IFERROR(__xludf.DUMMYFUNCTION("""COMPUTED_VALUE"""),FALSE)</f>
        <v>0</v>
      </c>
      <c r="AG72" t="str">
        <f ca="1">IFERROR(__xludf.DUMMYFUNCTION("""COMPUTED_VALUE"""),"Freestyle")</f>
        <v>Freestyle</v>
      </c>
    </row>
    <row r="73" spans="1:33" ht="13.2">
      <c r="A73">
        <f ca="1">IFERROR(__xludf.DUMMYFUNCTION("""COMPUTED_VALUE"""),73)</f>
        <v>73</v>
      </c>
      <c r="B73" t="str">
        <f ca="1">IFERROR(__xludf.DUMMYFUNCTION("""COMPUTED_VALUE"""),"Náchod")</f>
        <v>Náchod</v>
      </c>
      <c r="C73" t="str">
        <f ca="1">IFERROR(__xludf.DUMMYFUNCTION("""COMPUTED_VALUE"""),"Jiráskovo gymnázium Náchod")</f>
        <v>Jiráskovo gymnázium Náchod</v>
      </c>
      <c r="D73" t="str">
        <f ca="1">IFERROR(__xludf.DUMMYFUNCTION("""COMPUTED_VALUE"""),"Tým1")</f>
        <v>Tým1</v>
      </c>
      <c r="E73" s="158">
        <f ca="1">IFERROR(__xludf.DUMMYFUNCTION("""COMPUTED_VALUE"""),0.421527777777777)</f>
        <v>0.421527777777777</v>
      </c>
      <c r="F73" t="str">
        <f ca="1">IFERROR(__xludf.DUMMYFUNCTION("""COMPUTED_VALUE"""),"B")</f>
        <v>B</v>
      </c>
      <c r="G73" s="158">
        <f ca="1">IFERROR(__xludf.DUMMYFUNCTION("""COMPUTED_VALUE"""),0.491666666666666)</f>
        <v>0.49166666666666597</v>
      </c>
      <c r="H73" t="str">
        <f ca="1">IFERROR(__xludf.DUMMYFUNCTION("""COMPUTED_VALUE"""),"B")</f>
        <v>B</v>
      </c>
      <c r="I73" s="158">
        <f ca="1">IFERROR(__xludf.DUMMYFUNCTION("""COMPUTED_VALUE"""),0.566666666666666)</f>
        <v>0.56666666666666599</v>
      </c>
      <c r="J73" t="str">
        <f ca="1">IFERROR(__xludf.DUMMYFUNCTION("""COMPUTED_VALUE"""),"B")</f>
        <v>B</v>
      </c>
      <c r="K73" t="str">
        <f ca="1">IFERROR(__xludf.DUMMYFUNCTION("""COMPUTED_VALUE"""),"")</f>
        <v/>
      </c>
      <c r="L73" t="str">
        <f ca="1">IFERROR(__xludf.DUMMYFUNCTION("""COMPUTED_VALUE"""),"")</f>
        <v/>
      </c>
      <c r="M73" t="str">
        <f ca="1">IFERROR(__xludf.DUMMYFUNCTION("""COMPUTED_VALUE"""),"")</f>
        <v/>
      </c>
      <c r="N73" t="str">
        <f ca="1">IFERROR(__xludf.DUMMYFUNCTION("""COMPUTED_VALUE"""),"")</f>
        <v/>
      </c>
      <c r="O73" t="str">
        <f ca="1">IFERROR(__xludf.DUMMYFUNCTION("""COMPUTED_VALUE"""),"")</f>
        <v/>
      </c>
      <c r="P73" t="str">
        <f ca="1">IFERROR(__xludf.DUMMYFUNCTION("""COMPUTED_VALUE"""),"")</f>
        <v/>
      </c>
      <c r="Q73" s="158">
        <f ca="1">IFERROR(__xludf.DUMMYFUNCTION("""COMPUTED_VALUE"""),0.510416666666666)</f>
        <v>0.51041666666666596</v>
      </c>
      <c r="R73" t="str">
        <f ca="1">IFERROR(__xludf.DUMMYFUNCTION("""COMPUTED_VALUE"""),"A")</f>
        <v>A</v>
      </c>
      <c r="S73" s="158">
        <f ca="1">IFERROR(__xludf.DUMMYFUNCTION("""COMPUTED_VALUE"""),0.548611111111111)</f>
        <v>0.54861111111111105</v>
      </c>
      <c r="T73" t="str">
        <f ca="1">IFERROR(__xludf.DUMMYFUNCTION("""COMPUTED_VALUE"""),"A")</f>
        <v>A</v>
      </c>
      <c r="U73" t="str">
        <f ca="1">IFERROR(__xludf.DUMMYFUNCTION("""COMPUTED_VALUE"""),"")</f>
        <v/>
      </c>
      <c r="V73" t="str">
        <f ca="1">IFERROR(__xludf.DUMMYFUNCTION("""COMPUTED_VALUE"""),"")</f>
        <v/>
      </c>
      <c r="W73" t="str">
        <f ca="1">IFERROR(__xludf.DUMMYFUNCTION("""COMPUTED_VALUE"""),"")</f>
        <v/>
      </c>
      <c r="X73" t="str">
        <f ca="1">IFERROR(__xludf.DUMMYFUNCTION("""COMPUTED_VALUE"""),"")</f>
        <v/>
      </c>
      <c r="Y73" t="str">
        <f ca="1">IFERROR(__xludf.DUMMYFUNCTION("""COMPUTED_VALUE"""),"ZŠ")</f>
        <v>ZŠ</v>
      </c>
      <c r="Z73" t="b">
        <f ca="1">IFERROR(__xludf.DUMMYFUNCTION("""COMPUTED_VALUE"""),TRUE)</f>
        <v>1</v>
      </c>
      <c r="AA73" t="b">
        <f ca="1">IFERROR(__xludf.DUMMYFUNCTION("""COMPUTED_VALUE"""),FALSE)</f>
        <v>0</v>
      </c>
      <c r="AB73" t="b">
        <f ca="1">IFERROR(__xludf.DUMMYFUNCTION("""COMPUTED_VALUE"""),FALSE)</f>
        <v>0</v>
      </c>
      <c r="AC73" t="b">
        <f ca="1">IFERROR(__xludf.DUMMYFUNCTION("""COMPUTED_VALUE"""),TRUE)</f>
        <v>1</v>
      </c>
      <c r="AD73" t="b">
        <f ca="1">IFERROR(__xludf.DUMMYFUNCTION("""COMPUTED_VALUE"""),FALSE)</f>
        <v>0</v>
      </c>
      <c r="AE73" t="b">
        <f ca="1">IFERROR(__xludf.DUMMYFUNCTION("""COMPUTED_VALUE"""),FALSE)</f>
        <v>0</v>
      </c>
      <c r="AF73" t="b">
        <f ca="1">IFERROR(__xludf.DUMMYFUNCTION("""COMPUTED_VALUE"""),FALSE)</f>
        <v>0</v>
      </c>
      <c r="AG73" t="str">
        <f ca="1">IFERROR(__xludf.DUMMYFUNCTION("""COMPUTED_VALUE"""),"Čára (line follower), Sprint - LEGO (drag race - Lego)")</f>
        <v>Čára (line follower), Sprint - LEGO (drag race - Lego)</v>
      </c>
    </row>
    <row r="74" spans="1:33" ht="13.2">
      <c r="A74">
        <f ca="1">IFERROR(__xludf.DUMMYFUNCTION("""COMPUTED_VALUE"""),74)</f>
        <v>74</v>
      </c>
      <c r="B74" t="str">
        <f ca="1">IFERROR(__xludf.DUMMYFUNCTION("""COMPUTED_VALUE"""),"Náchod")</f>
        <v>Náchod</v>
      </c>
      <c r="C74" t="str">
        <f ca="1">IFERROR(__xludf.DUMMYFUNCTION("""COMPUTED_VALUE"""),"Jiráskovo gymnázium Náchod")</f>
        <v>Jiráskovo gymnázium Náchod</v>
      </c>
      <c r="D74" t="str">
        <f ca="1">IFERROR(__xludf.DUMMYFUNCTION("""COMPUTED_VALUE"""),"Tým 2")</f>
        <v>Tým 2</v>
      </c>
      <c r="E74" s="158">
        <f ca="1">IFERROR(__xludf.DUMMYFUNCTION("""COMPUTED_VALUE"""),0.421527777777777)</f>
        <v>0.421527777777777</v>
      </c>
      <c r="F74" t="str">
        <f ca="1">IFERROR(__xludf.DUMMYFUNCTION("""COMPUTED_VALUE"""),"A")</f>
        <v>A</v>
      </c>
      <c r="G74" s="158">
        <f ca="1">IFERROR(__xludf.DUMMYFUNCTION("""COMPUTED_VALUE"""),0.491666666666666)</f>
        <v>0.49166666666666597</v>
      </c>
      <c r="H74" t="str">
        <f ca="1">IFERROR(__xludf.DUMMYFUNCTION("""COMPUTED_VALUE"""),"A")</f>
        <v>A</v>
      </c>
      <c r="I74" s="158">
        <f ca="1">IFERROR(__xludf.DUMMYFUNCTION("""COMPUTED_VALUE"""),0.566666666666666)</f>
        <v>0.56666666666666599</v>
      </c>
      <c r="J74" t="str">
        <f ca="1">IFERROR(__xludf.DUMMYFUNCTION("""COMPUTED_VALUE"""),"A")</f>
        <v>A</v>
      </c>
      <c r="K74" t="str">
        <f ca="1">IFERROR(__xludf.DUMMYFUNCTION("""COMPUTED_VALUE"""),"")</f>
        <v/>
      </c>
      <c r="L74" t="str">
        <f ca="1">IFERROR(__xludf.DUMMYFUNCTION("""COMPUTED_VALUE"""),"")</f>
        <v/>
      </c>
      <c r="M74" t="str">
        <f ca="1">IFERROR(__xludf.DUMMYFUNCTION("""COMPUTED_VALUE"""),"")</f>
        <v/>
      </c>
      <c r="N74" t="str">
        <f ca="1">IFERROR(__xludf.DUMMYFUNCTION("""COMPUTED_VALUE"""),"")</f>
        <v/>
      </c>
      <c r="O74" t="str">
        <f ca="1">IFERROR(__xludf.DUMMYFUNCTION("""COMPUTED_VALUE"""),"")</f>
        <v/>
      </c>
      <c r="P74" t="str">
        <f ca="1">IFERROR(__xludf.DUMMYFUNCTION("""COMPUTED_VALUE"""),"")</f>
        <v/>
      </c>
      <c r="Q74" s="158">
        <f ca="1">IFERROR(__xludf.DUMMYFUNCTION("""COMPUTED_VALUE"""),0.510416666666666)</f>
        <v>0.51041666666666596</v>
      </c>
      <c r="R74" t="str">
        <f ca="1">IFERROR(__xludf.DUMMYFUNCTION("""COMPUTED_VALUE"""),"B")</f>
        <v>B</v>
      </c>
      <c r="S74" s="158">
        <f ca="1">IFERROR(__xludf.DUMMYFUNCTION("""COMPUTED_VALUE"""),0.548611111111111)</f>
        <v>0.54861111111111105</v>
      </c>
      <c r="T74" t="str">
        <f ca="1">IFERROR(__xludf.DUMMYFUNCTION("""COMPUTED_VALUE"""),"B")</f>
        <v>B</v>
      </c>
      <c r="U74" t="str">
        <f ca="1">IFERROR(__xludf.DUMMYFUNCTION("""COMPUTED_VALUE"""),"")</f>
        <v/>
      </c>
      <c r="V74" t="str">
        <f ca="1">IFERROR(__xludf.DUMMYFUNCTION("""COMPUTED_VALUE"""),"")</f>
        <v/>
      </c>
      <c r="W74" t="str">
        <f ca="1">IFERROR(__xludf.DUMMYFUNCTION("""COMPUTED_VALUE"""),"")</f>
        <v/>
      </c>
      <c r="X74" t="str">
        <f ca="1">IFERROR(__xludf.DUMMYFUNCTION("""COMPUTED_VALUE"""),"")</f>
        <v/>
      </c>
      <c r="Y74" t="str">
        <f ca="1">IFERROR(__xludf.DUMMYFUNCTION("""COMPUTED_VALUE"""),"ZŠ")</f>
        <v>ZŠ</v>
      </c>
      <c r="Z74" t="b">
        <f ca="1">IFERROR(__xludf.DUMMYFUNCTION("""COMPUTED_VALUE"""),TRUE)</f>
        <v>1</v>
      </c>
      <c r="AA74" t="b">
        <f ca="1">IFERROR(__xludf.DUMMYFUNCTION("""COMPUTED_VALUE"""),FALSE)</f>
        <v>0</v>
      </c>
      <c r="AB74" t="b">
        <f ca="1">IFERROR(__xludf.DUMMYFUNCTION("""COMPUTED_VALUE"""),FALSE)</f>
        <v>0</v>
      </c>
      <c r="AC74" t="b">
        <f ca="1">IFERROR(__xludf.DUMMYFUNCTION("""COMPUTED_VALUE"""),TRUE)</f>
        <v>1</v>
      </c>
      <c r="AD74" t="b">
        <f ca="1">IFERROR(__xludf.DUMMYFUNCTION("""COMPUTED_VALUE"""),FALSE)</f>
        <v>0</v>
      </c>
      <c r="AE74" t="b">
        <f ca="1">IFERROR(__xludf.DUMMYFUNCTION("""COMPUTED_VALUE"""),FALSE)</f>
        <v>0</v>
      </c>
      <c r="AF74" t="b">
        <f ca="1">IFERROR(__xludf.DUMMYFUNCTION("""COMPUTED_VALUE"""),FALSE)</f>
        <v>0</v>
      </c>
      <c r="AG74" t="str">
        <f ca="1">IFERROR(__xludf.DUMMYFUNCTION("""COMPUTED_VALUE"""),"Čára (line follower), Sprint - LEGO (drag race - Lego)")</f>
        <v>Čára (line follower), Sprint - LEGO (drag race - Lego)</v>
      </c>
    </row>
    <row r="75" spans="1:33" ht="13.2">
      <c r="A75">
        <f ca="1">IFERROR(__xludf.DUMMYFUNCTION("""COMPUTED_VALUE"""),75)</f>
        <v>75</v>
      </c>
      <c r="B75" t="str">
        <f ca="1">IFERROR(__xludf.DUMMYFUNCTION("""COMPUTED_VALUE"""),"Náchod")</f>
        <v>Náchod</v>
      </c>
      <c r="C75" t="str">
        <f ca="1">IFERROR(__xludf.DUMMYFUNCTION("""COMPUTED_VALUE"""),"Jiráskovo gymnázium Náchod")</f>
        <v>Jiráskovo gymnázium Náchod</v>
      </c>
      <c r="D75" t="str">
        <f ca="1">IFERROR(__xludf.DUMMYFUNCTION("""COMPUTED_VALUE"""),"Tým 3")</f>
        <v>Tým 3</v>
      </c>
      <c r="E75" t="str">
        <f ca="1">IFERROR(__xludf.DUMMYFUNCTION("""COMPUTED_VALUE"""),"---")</f>
        <v>---</v>
      </c>
      <c r="F75" t="str">
        <f ca="1">IFERROR(__xludf.DUMMYFUNCTION("""COMPUTED_VALUE"""),"")</f>
        <v/>
      </c>
      <c r="G75" t="str">
        <f ca="1">IFERROR(__xludf.DUMMYFUNCTION("""COMPUTED_VALUE"""),"---")</f>
        <v>---</v>
      </c>
      <c r="H75" t="str">
        <f ca="1">IFERROR(__xludf.DUMMYFUNCTION("""COMPUTED_VALUE"""),"")</f>
        <v/>
      </c>
      <c r="I75" t="str">
        <f ca="1">IFERROR(__xludf.DUMMYFUNCTION("""COMPUTED_VALUE"""),"---")</f>
        <v>---</v>
      </c>
      <c r="J75" t="str">
        <f ca="1">IFERROR(__xludf.DUMMYFUNCTION("""COMPUTED_VALUE"""),"")</f>
        <v/>
      </c>
      <c r="K75" t="str">
        <f ca="1">IFERROR(__xludf.DUMMYFUNCTION("""COMPUTED_VALUE"""),"")</f>
        <v/>
      </c>
      <c r="L75" t="str">
        <f ca="1">IFERROR(__xludf.DUMMYFUNCTION("""COMPUTED_VALUE"""),"")</f>
        <v/>
      </c>
      <c r="M75" t="str">
        <f ca="1">IFERROR(__xludf.DUMMYFUNCTION("""COMPUTED_VALUE"""),"")</f>
        <v/>
      </c>
      <c r="N75" t="str">
        <f ca="1">IFERROR(__xludf.DUMMYFUNCTION("""COMPUTED_VALUE"""),"")</f>
        <v/>
      </c>
      <c r="O75" s="158">
        <f ca="1">IFERROR(__xludf.DUMMYFUNCTION("""COMPUTED_VALUE"""),0.488888888888888)</f>
        <v>0.48888888888888798</v>
      </c>
      <c r="P75" t="str">
        <f ca="1">IFERROR(__xludf.DUMMYFUNCTION("""COMPUTED_VALUE"""),"B")</f>
        <v>B</v>
      </c>
      <c r="Q75" s="158">
        <f ca="1">IFERROR(__xludf.DUMMYFUNCTION("""COMPUTED_VALUE"""),0.511111111111111)</f>
        <v>0.51111111111111096</v>
      </c>
      <c r="R75" t="str">
        <f ca="1">IFERROR(__xludf.DUMMYFUNCTION("""COMPUTED_VALUE"""),"A")</f>
        <v>A</v>
      </c>
      <c r="S75" s="158">
        <f ca="1">IFERROR(__xludf.DUMMYFUNCTION("""COMPUTED_VALUE"""),0.549305555555555)</f>
        <v>0.54930555555555505</v>
      </c>
      <c r="T75" t="str">
        <f ca="1">IFERROR(__xludf.DUMMYFUNCTION("""COMPUTED_VALUE"""),"A")</f>
        <v>A</v>
      </c>
      <c r="U75" t="str">
        <f ca="1">IFERROR(__xludf.DUMMYFUNCTION("""COMPUTED_VALUE"""),"")</f>
        <v/>
      </c>
      <c r="V75" t="str">
        <f ca="1">IFERROR(__xludf.DUMMYFUNCTION("""COMPUTED_VALUE"""),"")</f>
        <v/>
      </c>
      <c r="W75" t="str">
        <f ca="1">IFERROR(__xludf.DUMMYFUNCTION("""COMPUTED_VALUE"""),"")</f>
        <v/>
      </c>
      <c r="X75" t="str">
        <f ca="1">IFERROR(__xludf.DUMMYFUNCTION("""COMPUTED_VALUE"""),"")</f>
        <v/>
      </c>
      <c r="Y75" t="str">
        <f ca="1">IFERROR(__xludf.DUMMYFUNCTION("""COMPUTED_VALUE"""),"ZŠ")</f>
        <v>ZŠ</v>
      </c>
      <c r="Z75" s="158" t="b">
        <f ca="1">IFERROR(__xludf.DUMMYFUNCTION("""COMPUTED_VALUE"""),FALSE)</f>
        <v>0</v>
      </c>
      <c r="AA75" t="b">
        <f ca="1">IFERROR(__xludf.DUMMYFUNCTION("""COMPUTED_VALUE"""),FALSE)</f>
        <v>0</v>
      </c>
      <c r="AB75" t="b">
        <f ca="1">IFERROR(__xludf.DUMMYFUNCTION("""COMPUTED_VALUE"""),TRUE)</f>
        <v>1</v>
      </c>
      <c r="AC75" t="b">
        <f ca="1">IFERROR(__xludf.DUMMYFUNCTION("""COMPUTED_VALUE"""),TRUE)</f>
        <v>1</v>
      </c>
      <c r="AD75" t="b">
        <f ca="1">IFERROR(__xludf.DUMMYFUNCTION("""COMPUTED_VALUE"""),FALSE)</f>
        <v>0</v>
      </c>
      <c r="AE75" t="b">
        <f ca="1">IFERROR(__xludf.DUMMYFUNCTION("""COMPUTED_VALUE"""),FALSE)</f>
        <v>0</v>
      </c>
      <c r="AF75" t="b">
        <f ca="1">IFERROR(__xludf.DUMMYFUNCTION("""COMPUTED_VALUE"""),FALSE)</f>
        <v>0</v>
      </c>
      <c r="AG75" t="str">
        <f ca="1">IFERROR(__xludf.DUMMYFUNCTION("""COMPUTED_VALUE"""),"Dálkový medvěd (bear rescue), Sprint - LEGO (drag race - Lego)")</f>
        <v>Dálkový medvěd (bear rescue), Sprint - LEGO (drag race - Lego)</v>
      </c>
    </row>
    <row r="76" spans="1:33" ht="13.2">
      <c r="A76">
        <f ca="1">IFERROR(__xludf.DUMMYFUNCTION("""COMPUTED_VALUE"""),76)</f>
        <v>76</v>
      </c>
      <c r="B76" t="str">
        <f ca="1">IFERROR(__xludf.DUMMYFUNCTION("""COMPUTED_VALUE"""),"Náchod")</f>
        <v>Náchod</v>
      </c>
      <c r="C76" t="str">
        <f ca="1">IFERROR(__xludf.DUMMYFUNCTION("""COMPUTED_VALUE"""),"Jiráskovo gymnázium Náchod")</f>
        <v>Jiráskovo gymnázium Náchod</v>
      </c>
      <c r="D76" t="str">
        <f ca="1">IFERROR(__xludf.DUMMYFUNCTION("""COMPUTED_VALUE"""),"Tým 4")</f>
        <v>Tým 4</v>
      </c>
      <c r="E76" t="str">
        <f ca="1">IFERROR(__xludf.DUMMYFUNCTION("""COMPUTED_VALUE"""),"---")</f>
        <v>---</v>
      </c>
      <c r="F76" t="str">
        <f ca="1">IFERROR(__xludf.DUMMYFUNCTION("""COMPUTED_VALUE"""),"")</f>
        <v/>
      </c>
      <c r="G76" t="str">
        <f ca="1">IFERROR(__xludf.DUMMYFUNCTION("""COMPUTED_VALUE"""),"---")</f>
        <v>---</v>
      </c>
      <c r="H76" t="str">
        <f ca="1">IFERROR(__xludf.DUMMYFUNCTION("""COMPUTED_VALUE"""),"")</f>
        <v/>
      </c>
      <c r="I76" t="str">
        <f ca="1">IFERROR(__xludf.DUMMYFUNCTION("""COMPUTED_VALUE"""),"---")</f>
        <v>---</v>
      </c>
      <c r="J76" t="str">
        <f ca="1">IFERROR(__xludf.DUMMYFUNCTION("""COMPUTED_VALUE"""),"")</f>
        <v/>
      </c>
      <c r="K76" s="158">
        <f ca="1">IFERROR(__xludf.DUMMYFUNCTION("""COMPUTED_VALUE"""),0.449305555555555)</f>
        <v>0.44930555555555501</v>
      </c>
      <c r="L76" t="str">
        <f ca="1">IFERROR(__xludf.DUMMYFUNCTION("""COMPUTED_VALUE"""),"A")</f>
        <v>A</v>
      </c>
      <c r="M76" s="158">
        <f ca="1">IFERROR(__xludf.DUMMYFUNCTION("""COMPUTED_VALUE"""),0.539583333333333)</f>
        <v>0.53958333333333297</v>
      </c>
      <c r="N76" t="str">
        <f ca="1">IFERROR(__xludf.DUMMYFUNCTION("""COMPUTED_VALUE"""),"A")</f>
        <v>A</v>
      </c>
      <c r="O76" s="158">
        <f ca="1">IFERROR(__xludf.DUMMYFUNCTION("""COMPUTED_VALUE"""),0.490277777777777)</f>
        <v>0.49027777777777698</v>
      </c>
      <c r="P76" t="str">
        <f ca="1">IFERROR(__xludf.DUMMYFUNCTION("""COMPUTED_VALUE"""),"A")</f>
        <v>A</v>
      </c>
      <c r="Q76" s="158">
        <f ca="1">IFERROR(__xludf.DUMMYFUNCTION("""COMPUTED_VALUE"""),0.511111111111111)</f>
        <v>0.51111111111111096</v>
      </c>
      <c r="R76" t="str">
        <f ca="1">IFERROR(__xludf.DUMMYFUNCTION("""COMPUTED_VALUE"""),"B")</f>
        <v>B</v>
      </c>
      <c r="S76" s="158">
        <f ca="1">IFERROR(__xludf.DUMMYFUNCTION("""COMPUTED_VALUE"""),0.549305555555555)</f>
        <v>0.54930555555555505</v>
      </c>
      <c r="T76" t="str">
        <f ca="1">IFERROR(__xludf.DUMMYFUNCTION("""COMPUTED_VALUE"""),"B")</f>
        <v>B</v>
      </c>
      <c r="U76" t="str">
        <f ca="1">IFERROR(__xludf.DUMMYFUNCTION("""COMPUTED_VALUE"""),"")</f>
        <v/>
      </c>
      <c r="V76" t="str">
        <f ca="1">IFERROR(__xludf.DUMMYFUNCTION("""COMPUTED_VALUE"""),"")</f>
        <v/>
      </c>
      <c r="W76" t="str">
        <f ca="1">IFERROR(__xludf.DUMMYFUNCTION("""COMPUTED_VALUE"""),"")</f>
        <v/>
      </c>
      <c r="X76" t="str">
        <f ca="1">IFERROR(__xludf.DUMMYFUNCTION("""COMPUTED_VALUE"""),"")</f>
        <v/>
      </c>
      <c r="Y76" t="str">
        <f ca="1">IFERROR(__xludf.DUMMYFUNCTION("""COMPUTED_VALUE"""),"ZŠ")</f>
        <v>ZŠ</v>
      </c>
      <c r="Z76" s="158" t="b">
        <f ca="1">IFERROR(__xludf.DUMMYFUNCTION("""COMPUTED_VALUE"""),FALSE)</f>
        <v>0</v>
      </c>
      <c r="AA76" t="b">
        <f ca="1">IFERROR(__xludf.DUMMYFUNCTION("""COMPUTED_VALUE"""),TRUE)</f>
        <v>1</v>
      </c>
      <c r="AB76" t="b">
        <f ca="1">IFERROR(__xludf.DUMMYFUNCTION("""COMPUTED_VALUE"""),TRUE)</f>
        <v>1</v>
      </c>
      <c r="AC76" t="b">
        <f ca="1">IFERROR(__xludf.DUMMYFUNCTION("""COMPUTED_VALUE"""),TRUE)</f>
        <v>1</v>
      </c>
      <c r="AD76" t="b">
        <f ca="1">IFERROR(__xludf.DUMMYFUNCTION("""COMPUTED_VALUE"""),FALSE)</f>
        <v>0</v>
      </c>
      <c r="AE76" t="b">
        <f ca="1">IFERROR(__xludf.DUMMYFUNCTION("""COMPUTED_VALUE"""),FALSE)</f>
        <v>0</v>
      </c>
      <c r="AF76" t="b">
        <f ca="1">IFERROR(__xludf.DUMMYFUNCTION("""COMPUTED_VALUE"""),FALSE)</f>
        <v>0</v>
      </c>
      <c r="AG76" t="str">
        <f ca="1">IFERROR(__xludf.DUMMYFUNCTION("""COMPUTED_VALUE"""),"Dálkový medvěd (bear rescue), Autonomní medvěd (bear rescue advance), Sprint - LEGO (drag race - Lego)")</f>
        <v>Dálkový medvěd (bear rescue), Autonomní medvěd (bear rescue advance), Sprint - LEGO (drag race - Lego)</v>
      </c>
    </row>
    <row r="77" spans="1:33" ht="13.2">
      <c r="A77">
        <f ca="1">IFERROR(__xludf.DUMMYFUNCTION("""COMPUTED_VALUE"""),77)</f>
        <v>77</v>
      </c>
      <c r="B77" t="str">
        <f ca="1">IFERROR(__xludf.DUMMYFUNCTION("""COMPUTED_VALUE"""),"Náchod")</f>
        <v>Náchod</v>
      </c>
      <c r="C77" t="str">
        <f ca="1">IFERROR(__xludf.DUMMYFUNCTION("""COMPUTED_VALUE"""),"Jiráskovo gymnázium Náchod")</f>
        <v>Jiráskovo gymnázium Náchod</v>
      </c>
      <c r="D77" t="str">
        <f ca="1">IFERROR(__xludf.DUMMYFUNCTION("""COMPUTED_VALUE"""),"Tým 5")</f>
        <v>Tým 5</v>
      </c>
      <c r="E77" s="158">
        <f ca="1">IFERROR(__xludf.DUMMYFUNCTION("""COMPUTED_VALUE"""),0.422916666666666)</f>
        <v>0.422916666666666</v>
      </c>
      <c r="F77" t="str">
        <f ca="1">IFERROR(__xludf.DUMMYFUNCTION("""COMPUTED_VALUE"""),"B")</f>
        <v>B</v>
      </c>
      <c r="G77" s="158">
        <f ca="1">IFERROR(__xludf.DUMMYFUNCTION("""COMPUTED_VALUE"""),0.493055555555555)</f>
        <v>0.49305555555555503</v>
      </c>
      <c r="H77" t="str">
        <f ca="1">IFERROR(__xludf.DUMMYFUNCTION("""COMPUTED_VALUE"""),"B")</f>
        <v>B</v>
      </c>
      <c r="I77" s="158">
        <f ca="1">IFERROR(__xludf.DUMMYFUNCTION("""COMPUTED_VALUE"""),0.568055555555555)</f>
        <v>0.56805555555555498</v>
      </c>
      <c r="J77" t="str">
        <f ca="1">IFERROR(__xludf.DUMMYFUNCTION("""COMPUTED_VALUE"""),"B")</f>
        <v>B</v>
      </c>
      <c r="K77" s="158">
        <f ca="1">IFERROR(__xludf.DUMMYFUNCTION("""COMPUTED_VALUE"""),0.449305555555555)</f>
        <v>0.44930555555555501</v>
      </c>
      <c r="L77" t="str">
        <f ca="1">IFERROR(__xludf.DUMMYFUNCTION("""COMPUTED_VALUE"""),"B")</f>
        <v>B</v>
      </c>
      <c r="M77" s="158">
        <f ca="1">IFERROR(__xludf.DUMMYFUNCTION("""COMPUTED_VALUE"""),0.539583333333333)</f>
        <v>0.53958333333333297</v>
      </c>
      <c r="N77" t="str">
        <f ca="1">IFERROR(__xludf.DUMMYFUNCTION("""COMPUTED_VALUE"""),"B")</f>
        <v>B</v>
      </c>
      <c r="O77" s="158">
        <f ca="1">IFERROR(__xludf.DUMMYFUNCTION("""COMPUTED_VALUE"""),0.490277777777777)</f>
        <v>0.49027777777777698</v>
      </c>
      <c r="P77" t="str">
        <f ca="1">IFERROR(__xludf.DUMMYFUNCTION("""COMPUTED_VALUE"""),"B")</f>
        <v>B</v>
      </c>
      <c r="Q77" t="str">
        <f ca="1">IFERROR(__xludf.DUMMYFUNCTION("""COMPUTED_VALUE"""),"")</f>
        <v/>
      </c>
      <c r="R77" t="str">
        <f ca="1">IFERROR(__xludf.DUMMYFUNCTION("""COMPUTED_VALUE"""),"")</f>
        <v/>
      </c>
      <c r="S77" t="str">
        <f ca="1">IFERROR(__xludf.DUMMYFUNCTION("""COMPUTED_VALUE"""),"")</f>
        <v/>
      </c>
      <c r="T77" t="str">
        <f ca="1">IFERROR(__xludf.DUMMYFUNCTION("""COMPUTED_VALUE"""),"")</f>
        <v/>
      </c>
      <c r="U77" t="str">
        <f ca="1">IFERROR(__xludf.DUMMYFUNCTION("""COMPUTED_VALUE"""),"")</f>
        <v/>
      </c>
      <c r="V77" t="str">
        <f ca="1">IFERROR(__xludf.DUMMYFUNCTION("""COMPUTED_VALUE"""),"")</f>
        <v/>
      </c>
      <c r="W77" t="str">
        <f ca="1">IFERROR(__xludf.DUMMYFUNCTION("""COMPUTED_VALUE"""),"")</f>
        <v/>
      </c>
      <c r="X77" t="str">
        <f ca="1">IFERROR(__xludf.DUMMYFUNCTION("""COMPUTED_VALUE"""),"")</f>
        <v/>
      </c>
      <c r="Y77" t="str">
        <f ca="1">IFERROR(__xludf.DUMMYFUNCTION("""COMPUTED_VALUE"""),"SŠ")</f>
        <v>SŠ</v>
      </c>
      <c r="Z77" t="b">
        <f ca="1">IFERROR(__xludf.DUMMYFUNCTION("""COMPUTED_VALUE"""),TRUE)</f>
        <v>1</v>
      </c>
      <c r="AA77" t="b">
        <f ca="1">IFERROR(__xludf.DUMMYFUNCTION("""COMPUTED_VALUE"""),TRUE)</f>
        <v>1</v>
      </c>
      <c r="AB77" t="b">
        <f ca="1">IFERROR(__xludf.DUMMYFUNCTION("""COMPUTED_VALUE"""),TRUE)</f>
        <v>1</v>
      </c>
      <c r="AC77" t="b">
        <f ca="1">IFERROR(__xludf.DUMMYFUNCTION("""COMPUTED_VALUE"""),FALSE)</f>
        <v>0</v>
      </c>
      <c r="AD77" t="b">
        <f ca="1">IFERROR(__xludf.DUMMYFUNCTION("""COMPUTED_VALUE"""),FALSE)</f>
        <v>0</v>
      </c>
      <c r="AE77" t="b">
        <f ca="1">IFERROR(__xludf.DUMMYFUNCTION("""COMPUTED_VALUE"""),FALSE)</f>
        <v>0</v>
      </c>
      <c r="AF77" t="b">
        <f ca="1">IFERROR(__xludf.DUMMYFUNCTION("""COMPUTED_VALUE"""),FALSE)</f>
        <v>0</v>
      </c>
      <c r="AG77" t="str">
        <f ca="1">IFERROR(__xludf.DUMMYFUNCTION("""COMPUTED_VALUE"""),"Čára (line follower), Dálkový medvěd (bear rescue), Autonomní medvěd (bear rescue advance)")</f>
        <v>Čára (line follower), Dálkový medvěd (bear rescue), Autonomní medvěd (bear rescue advance)</v>
      </c>
    </row>
    <row r="78" spans="1:33" ht="13.2">
      <c r="A78">
        <f ca="1">IFERROR(__xludf.DUMMYFUNCTION("""COMPUTED_VALUE"""),78)</f>
        <v>78</v>
      </c>
      <c r="B78" t="str">
        <f ca="1">IFERROR(__xludf.DUMMYFUNCTION("""COMPUTED_VALUE"""),"Náchod")</f>
        <v>Náchod</v>
      </c>
      <c r="C78" t="str">
        <f ca="1">IFERROR(__xludf.DUMMYFUNCTION("""COMPUTED_VALUE"""),"Jiráskovo gymnázium Náchod")</f>
        <v>Jiráskovo gymnázium Náchod</v>
      </c>
      <c r="D78" t="str">
        <f ca="1">IFERROR(__xludf.DUMMYFUNCTION("""COMPUTED_VALUE"""),"Tým 6")</f>
        <v>Tým 6</v>
      </c>
      <c r="E78" s="158">
        <f ca="1">IFERROR(__xludf.DUMMYFUNCTION("""COMPUTED_VALUE"""),0.422916666666666)</f>
        <v>0.422916666666666</v>
      </c>
      <c r="F78" t="str">
        <f ca="1">IFERROR(__xludf.DUMMYFUNCTION("""COMPUTED_VALUE"""),"A")</f>
        <v>A</v>
      </c>
      <c r="G78" s="158">
        <f ca="1">IFERROR(__xludf.DUMMYFUNCTION("""COMPUTED_VALUE"""),0.493055555555555)</f>
        <v>0.49305555555555503</v>
      </c>
      <c r="H78" t="str">
        <f ca="1">IFERROR(__xludf.DUMMYFUNCTION("""COMPUTED_VALUE"""),"A")</f>
        <v>A</v>
      </c>
      <c r="I78" s="158">
        <f ca="1">IFERROR(__xludf.DUMMYFUNCTION("""COMPUTED_VALUE"""),0.568055555555555)</f>
        <v>0.56805555555555498</v>
      </c>
      <c r="J78" t="str">
        <f ca="1">IFERROR(__xludf.DUMMYFUNCTION("""COMPUTED_VALUE"""),"A")</f>
        <v>A</v>
      </c>
      <c r="K78" t="str">
        <f ca="1">IFERROR(__xludf.DUMMYFUNCTION("""COMPUTED_VALUE"""),"")</f>
        <v/>
      </c>
      <c r="L78" t="str">
        <f ca="1">IFERROR(__xludf.DUMMYFUNCTION("""COMPUTED_VALUE"""),"")</f>
        <v/>
      </c>
      <c r="M78" t="str">
        <f ca="1">IFERROR(__xludf.DUMMYFUNCTION("""COMPUTED_VALUE"""),"")</f>
        <v/>
      </c>
      <c r="N78" t="str">
        <f ca="1">IFERROR(__xludf.DUMMYFUNCTION("""COMPUTED_VALUE"""),"")</f>
        <v/>
      </c>
      <c r="O78" s="158">
        <f ca="1">IFERROR(__xludf.DUMMYFUNCTION("""COMPUTED_VALUE"""),0.491666666666666)</f>
        <v>0.49166666666666597</v>
      </c>
      <c r="P78" t="str">
        <f ca="1">IFERROR(__xludf.DUMMYFUNCTION("""COMPUTED_VALUE"""),"A")</f>
        <v>A</v>
      </c>
      <c r="Q78" t="str">
        <f ca="1">IFERROR(__xludf.DUMMYFUNCTION("""COMPUTED_VALUE"""),"")</f>
        <v/>
      </c>
      <c r="R78" t="str">
        <f ca="1">IFERROR(__xludf.DUMMYFUNCTION("""COMPUTED_VALUE"""),"")</f>
        <v/>
      </c>
      <c r="S78" t="str">
        <f ca="1">IFERROR(__xludf.DUMMYFUNCTION("""COMPUTED_VALUE"""),"")</f>
        <v/>
      </c>
      <c r="T78" t="str">
        <f ca="1">IFERROR(__xludf.DUMMYFUNCTION("""COMPUTED_VALUE"""),"")</f>
        <v/>
      </c>
      <c r="U78" t="str">
        <f ca="1">IFERROR(__xludf.DUMMYFUNCTION("""COMPUTED_VALUE"""),"")</f>
        <v/>
      </c>
      <c r="V78" t="str">
        <f ca="1">IFERROR(__xludf.DUMMYFUNCTION("""COMPUTED_VALUE"""),"")</f>
        <v/>
      </c>
      <c r="W78" t="str">
        <f ca="1">IFERROR(__xludf.DUMMYFUNCTION("""COMPUTED_VALUE"""),"")</f>
        <v/>
      </c>
      <c r="X78" t="str">
        <f ca="1">IFERROR(__xludf.DUMMYFUNCTION("""COMPUTED_VALUE"""),"")</f>
        <v/>
      </c>
      <c r="Y78" t="str">
        <f ca="1">IFERROR(__xludf.DUMMYFUNCTION("""COMPUTED_VALUE"""),"SŠ")</f>
        <v>SŠ</v>
      </c>
      <c r="Z78" t="b">
        <f ca="1">IFERROR(__xludf.DUMMYFUNCTION("""COMPUTED_VALUE"""),TRUE)</f>
        <v>1</v>
      </c>
      <c r="AA78" t="b">
        <f ca="1">IFERROR(__xludf.DUMMYFUNCTION("""COMPUTED_VALUE"""),FALSE)</f>
        <v>0</v>
      </c>
      <c r="AB78" t="b">
        <f ca="1">IFERROR(__xludf.DUMMYFUNCTION("""COMPUTED_VALUE"""),TRUE)</f>
        <v>1</v>
      </c>
      <c r="AC78" t="b">
        <f ca="1">IFERROR(__xludf.DUMMYFUNCTION("""COMPUTED_VALUE"""),FALSE)</f>
        <v>0</v>
      </c>
      <c r="AD78" t="b">
        <f ca="1">IFERROR(__xludf.DUMMYFUNCTION("""COMPUTED_VALUE"""),FALSE)</f>
        <v>0</v>
      </c>
      <c r="AE78" t="b">
        <f ca="1">IFERROR(__xludf.DUMMYFUNCTION("""COMPUTED_VALUE"""),FALSE)</f>
        <v>0</v>
      </c>
      <c r="AF78" t="b">
        <f ca="1">IFERROR(__xludf.DUMMYFUNCTION("""COMPUTED_VALUE"""),FALSE)</f>
        <v>0</v>
      </c>
      <c r="AG78" t="str">
        <f ca="1">IFERROR(__xludf.DUMMYFUNCTION("""COMPUTED_VALUE"""),"Čára (line follower), Dálkový medvěd (bear rescue)")</f>
        <v>Čára (line follower), Dálkový medvěd (bear rescue)</v>
      </c>
    </row>
    <row r="79" spans="1:33" ht="13.2">
      <c r="A79">
        <f ca="1">IFERROR(__xludf.DUMMYFUNCTION("""COMPUTED_VALUE"""),79)</f>
        <v>79</v>
      </c>
      <c r="B79" t="str">
        <f ca="1">IFERROR(__xludf.DUMMYFUNCTION("""COMPUTED_VALUE"""),"Praha")</f>
        <v>Praha</v>
      </c>
      <c r="C79" t="str">
        <f ca="1">IFERROR(__xludf.DUMMYFUNCTION("""COMPUTED_VALUE"""),"Kiddům - Centrum mladých objevitelů Praha")</f>
        <v>Kiddům - Centrum mladých objevitelů Praha</v>
      </c>
      <c r="D79" t="str">
        <f ca="1">IFERROR(__xludf.DUMMYFUNCTION("""COMPUTED_VALUE"""),"Kiddům Team")</f>
        <v>Kiddům Team</v>
      </c>
      <c r="E79" t="str">
        <f ca="1">IFERROR(__xludf.DUMMYFUNCTION("""COMPUTED_VALUE"""),"---")</f>
        <v>---</v>
      </c>
      <c r="F79" t="str">
        <f ca="1">IFERROR(__xludf.DUMMYFUNCTION("""COMPUTED_VALUE"""),"")</f>
        <v/>
      </c>
      <c r="G79" t="str">
        <f ca="1">IFERROR(__xludf.DUMMYFUNCTION("""COMPUTED_VALUE"""),"---")</f>
        <v>---</v>
      </c>
      <c r="H79" t="str">
        <f ca="1">IFERROR(__xludf.DUMMYFUNCTION("""COMPUTED_VALUE"""),"")</f>
        <v/>
      </c>
      <c r="I79" t="str">
        <f ca="1">IFERROR(__xludf.DUMMYFUNCTION("""COMPUTED_VALUE"""),"---")</f>
        <v>---</v>
      </c>
      <c r="J79" t="str">
        <f ca="1">IFERROR(__xludf.DUMMYFUNCTION("""COMPUTED_VALUE"""),"")</f>
        <v/>
      </c>
      <c r="K79" s="158">
        <f ca="1">IFERROR(__xludf.DUMMYFUNCTION("""COMPUTED_VALUE"""),0.451388888888888)</f>
        <v>0.45138888888888801</v>
      </c>
      <c r="L79" t="str">
        <f ca="1">IFERROR(__xludf.DUMMYFUNCTION("""COMPUTED_VALUE"""),"A")</f>
        <v>A</v>
      </c>
      <c r="M79" s="158">
        <f ca="1">IFERROR(__xludf.DUMMYFUNCTION("""COMPUTED_VALUE"""),0.541666666666666)</f>
        <v>0.54166666666666596</v>
      </c>
      <c r="N79" t="str">
        <f ca="1">IFERROR(__xludf.DUMMYFUNCTION("""COMPUTED_VALUE"""),"A")</f>
        <v>A</v>
      </c>
      <c r="O79" t="str">
        <f ca="1">IFERROR(__xludf.DUMMYFUNCTION("""COMPUTED_VALUE"""),"")</f>
        <v/>
      </c>
      <c r="P79" t="str">
        <f ca="1">IFERROR(__xludf.DUMMYFUNCTION("""COMPUTED_VALUE"""),"")</f>
        <v/>
      </c>
      <c r="Q79" s="158">
        <f ca="1">IFERROR(__xludf.DUMMYFUNCTION("""COMPUTED_VALUE"""),0.511805555555555)</f>
        <v>0.51180555555555496</v>
      </c>
      <c r="R79" t="str">
        <f ca="1">IFERROR(__xludf.DUMMYFUNCTION("""COMPUTED_VALUE"""),"A")</f>
        <v>A</v>
      </c>
      <c r="S79" s="158">
        <f ca="1">IFERROR(__xludf.DUMMYFUNCTION("""COMPUTED_VALUE"""),0.55)</f>
        <v>0.55000000000000004</v>
      </c>
      <c r="T79" t="str">
        <f ca="1">IFERROR(__xludf.DUMMYFUNCTION("""COMPUTED_VALUE"""),"A")</f>
        <v>A</v>
      </c>
      <c r="U79" t="str">
        <f ca="1">IFERROR(__xludf.DUMMYFUNCTION("""COMPUTED_VALUE"""),"")</f>
        <v/>
      </c>
      <c r="V79" t="str">
        <f ca="1">IFERROR(__xludf.DUMMYFUNCTION("""COMPUTED_VALUE"""),"")</f>
        <v/>
      </c>
      <c r="W79" t="str">
        <f ca="1">IFERROR(__xludf.DUMMYFUNCTION("""COMPUTED_VALUE"""),"")</f>
        <v/>
      </c>
      <c r="X79" t="str">
        <f ca="1">IFERROR(__xludf.DUMMYFUNCTION("""COMPUTED_VALUE"""),"")</f>
        <v/>
      </c>
      <c r="Y79" t="str">
        <f ca="1">IFERROR(__xludf.DUMMYFUNCTION("""COMPUTED_VALUE"""),"ZŠ")</f>
        <v>ZŠ</v>
      </c>
      <c r="Z79" s="158" t="b">
        <f ca="1">IFERROR(__xludf.DUMMYFUNCTION("""COMPUTED_VALUE"""),FALSE)</f>
        <v>0</v>
      </c>
      <c r="AA79" t="b">
        <f ca="1">IFERROR(__xludf.DUMMYFUNCTION("""COMPUTED_VALUE"""),TRUE)</f>
        <v>1</v>
      </c>
      <c r="AB79" t="b">
        <f ca="1">IFERROR(__xludf.DUMMYFUNCTION("""COMPUTED_VALUE"""),FALSE)</f>
        <v>0</v>
      </c>
      <c r="AC79" t="b">
        <f ca="1">IFERROR(__xludf.DUMMYFUNCTION("""COMPUTED_VALUE"""),TRUE)</f>
        <v>1</v>
      </c>
      <c r="AD79" t="b">
        <f ca="1">IFERROR(__xludf.DUMMYFUNCTION("""COMPUTED_VALUE"""),FALSE)</f>
        <v>0</v>
      </c>
      <c r="AE79" t="b">
        <f ca="1">IFERROR(__xludf.DUMMYFUNCTION("""COMPUTED_VALUE"""),FALSE)</f>
        <v>0</v>
      </c>
      <c r="AF79" t="b">
        <f ca="1">IFERROR(__xludf.DUMMYFUNCTION("""COMPUTED_VALUE"""),FALSE)</f>
        <v>0</v>
      </c>
      <c r="AG79" t="str">
        <f ca="1">IFERROR(__xludf.DUMMYFUNCTION("""COMPUTED_VALUE"""),"Autonomní medvěd (bear rescue advance), Sprint - LEGO (drag race - Lego)")</f>
        <v>Autonomní medvěd (bear rescue advance), Sprint - LEGO (drag race - Lego)</v>
      </c>
    </row>
    <row r="80" spans="1:33" ht="13.2">
      <c r="A80">
        <f ca="1">IFERROR(__xludf.DUMMYFUNCTION("""COMPUTED_VALUE"""),80)</f>
        <v>80</v>
      </c>
      <c r="B80" t="str">
        <f ca="1">IFERROR(__xludf.DUMMYFUNCTION("""COMPUTED_VALUE"""),"Zlín")</f>
        <v>Zlín</v>
      </c>
      <c r="C80" t="str">
        <f ca="1">IFERROR(__xludf.DUMMYFUNCTION("""COMPUTED_VALUE"""),"Gymnázium Zlín - Lesní čtvrť")</f>
        <v>Gymnázium Zlín - Lesní čtvrť</v>
      </c>
      <c r="D80" t="str">
        <f ca="1">IFERROR(__xludf.DUMMYFUNCTION("""COMPUTED_VALUE"""),"WZM Team")</f>
        <v>WZM Team</v>
      </c>
      <c r="E80" s="158">
        <f ca="1">IFERROR(__xludf.DUMMYFUNCTION("""COMPUTED_VALUE"""),0.424305555555555)</f>
        <v>0.42430555555555499</v>
      </c>
      <c r="F80" t="str">
        <f ca="1">IFERROR(__xludf.DUMMYFUNCTION("""COMPUTED_VALUE"""),"B")</f>
        <v>B</v>
      </c>
      <c r="G80" s="158">
        <f ca="1">IFERROR(__xludf.DUMMYFUNCTION("""COMPUTED_VALUE"""),0.494444444444444)</f>
        <v>0.49444444444444402</v>
      </c>
      <c r="H80" t="str">
        <f ca="1">IFERROR(__xludf.DUMMYFUNCTION("""COMPUTED_VALUE"""),"B")</f>
        <v>B</v>
      </c>
      <c r="I80" s="158">
        <f ca="1">IFERROR(__xludf.DUMMYFUNCTION("""COMPUTED_VALUE"""),0.569444444444444)</f>
        <v>0.56944444444444398</v>
      </c>
      <c r="J80" t="str">
        <f ca="1">IFERROR(__xludf.DUMMYFUNCTION("""COMPUTED_VALUE"""),"B")</f>
        <v>B</v>
      </c>
      <c r="K80" s="158">
        <f ca="1">IFERROR(__xludf.DUMMYFUNCTION("""COMPUTED_VALUE"""),0.451388888888888)</f>
        <v>0.45138888888888801</v>
      </c>
      <c r="L80" t="str">
        <f ca="1">IFERROR(__xludf.DUMMYFUNCTION("""COMPUTED_VALUE"""),"B")</f>
        <v>B</v>
      </c>
      <c r="M80" s="158">
        <f ca="1">IFERROR(__xludf.DUMMYFUNCTION("""COMPUTED_VALUE"""),0.541666666666666)</f>
        <v>0.54166666666666596</v>
      </c>
      <c r="N80" t="str">
        <f ca="1">IFERROR(__xludf.DUMMYFUNCTION("""COMPUTED_VALUE"""),"B")</f>
        <v>B</v>
      </c>
      <c r="O80" t="str">
        <f ca="1">IFERROR(__xludf.DUMMYFUNCTION("""COMPUTED_VALUE"""),"")</f>
        <v/>
      </c>
      <c r="P80" t="str">
        <f ca="1">IFERROR(__xludf.DUMMYFUNCTION("""COMPUTED_VALUE"""),"")</f>
        <v/>
      </c>
      <c r="Q80" t="str">
        <f ca="1">IFERROR(__xludf.DUMMYFUNCTION("""COMPUTED_VALUE"""),"")</f>
        <v/>
      </c>
      <c r="R80" t="str">
        <f ca="1">IFERROR(__xludf.DUMMYFUNCTION("""COMPUTED_VALUE"""),"")</f>
        <v/>
      </c>
      <c r="S80" t="str">
        <f ca="1">IFERROR(__xludf.DUMMYFUNCTION("""COMPUTED_VALUE"""),"")</f>
        <v/>
      </c>
      <c r="T80" t="str">
        <f ca="1">IFERROR(__xludf.DUMMYFUNCTION("""COMPUTED_VALUE"""),"")</f>
        <v/>
      </c>
      <c r="U80" s="158">
        <f ca="1">IFERROR(__xludf.DUMMYFUNCTION("""COMPUTED_VALUE"""),0.534027777777777)</f>
        <v>0.53402777777777699</v>
      </c>
      <c r="V80" t="str">
        <f ca="1">IFERROR(__xludf.DUMMYFUNCTION("""COMPUTED_VALUE"""),"A")</f>
        <v>A</v>
      </c>
      <c r="W80" s="158">
        <f ca="1">IFERROR(__xludf.DUMMYFUNCTION("""COMPUTED_VALUE"""),0.572222222222222)</f>
        <v>0.57222222222222197</v>
      </c>
      <c r="X80" t="str">
        <f ca="1">IFERROR(__xludf.DUMMYFUNCTION("""COMPUTED_VALUE"""),"A")</f>
        <v>A</v>
      </c>
      <c r="Y80" t="str">
        <f ca="1">IFERROR(__xludf.DUMMYFUNCTION("""COMPUTED_VALUE"""),"SŠ")</f>
        <v>SŠ</v>
      </c>
      <c r="Z80" t="b">
        <f ca="1">IFERROR(__xludf.DUMMYFUNCTION("""COMPUTED_VALUE"""),TRUE)</f>
        <v>1</v>
      </c>
      <c r="AA80" t="b">
        <f ca="1">IFERROR(__xludf.DUMMYFUNCTION("""COMPUTED_VALUE"""),TRUE)</f>
        <v>1</v>
      </c>
      <c r="AB80" t="b">
        <f ca="1">IFERROR(__xludf.DUMMYFUNCTION("""COMPUTED_VALUE"""),FALSE)</f>
        <v>0</v>
      </c>
      <c r="AC80" t="b">
        <f ca="1">IFERROR(__xludf.DUMMYFUNCTION("""COMPUTED_VALUE"""),FALSE)</f>
        <v>0</v>
      </c>
      <c r="AD80" t="b">
        <f ca="1">IFERROR(__xludf.DUMMYFUNCTION("""COMPUTED_VALUE"""),TRUE)</f>
        <v>1</v>
      </c>
      <c r="AE80" t="b">
        <f ca="1">IFERROR(__xludf.DUMMYFUNCTION("""COMPUTED_VALUE"""),FALSE)</f>
        <v>0</v>
      </c>
      <c r="AF80" t="b">
        <f ca="1">IFERROR(__xludf.DUMMYFUNCTION("""COMPUTED_VALUE"""),FALSE)</f>
        <v>0</v>
      </c>
      <c r="AG80" t="str">
        <f ca="1">IFERROR(__xludf.DUMMYFUNCTION("""COMPUTED_VALUE"""),"Čára (line follower), Autonomní medvěd (bear rescue advance), Sprint - NeLEGOvý (drag race - Non Lego)")</f>
        <v>Čára (line follower), Autonomní medvěd (bear rescue advance), Sprint - NeLEGOvý (drag race - Non Lego)</v>
      </c>
    </row>
    <row r="81" spans="1:33" ht="13.2">
      <c r="A81">
        <f ca="1">IFERROR(__xludf.DUMMYFUNCTION("""COMPUTED_VALUE"""),81)</f>
        <v>81</v>
      </c>
      <c r="B81" t="str">
        <f ca="1">IFERROR(__xludf.DUMMYFUNCTION("""COMPUTED_VALUE"""),"Zlín")</f>
        <v>Zlín</v>
      </c>
      <c r="C81" t="str">
        <f ca="1">IFERROR(__xludf.DUMMYFUNCTION("""COMPUTED_VALUE"""),"Gymnázium Zlín - Lesní čtvrť")</f>
        <v>Gymnázium Zlín - Lesní čtvrť</v>
      </c>
      <c r="D81" t="str">
        <f ca="1">IFERROR(__xludf.DUMMYFUNCTION("""COMPUTED_VALUE"""),"Matěšpond")</f>
        <v>Matěšpond</v>
      </c>
      <c r="E81" t="str">
        <f ca="1">IFERROR(__xludf.DUMMYFUNCTION("""COMPUTED_VALUE"""),"---")</f>
        <v>---</v>
      </c>
      <c r="F81" t="str">
        <f ca="1">IFERROR(__xludf.DUMMYFUNCTION("""COMPUTED_VALUE"""),"")</f>
        <v/>
      </c>
      <c r="G81" s="158" t="str">
        <f ca="1">IFERROR(__xludf.DUMMYFUNCTION("""COMPUTED_VALUE"""),"---")</f>
        <v>---</v>
      </c>
      <c r="H81" t="str">
        <f ca="1">IFERROR(__xludf.DUMMYFUNCTION("""COMPUTED_VALUE"""),"")</f>
        <v/>
      </c>
      <c r="I81" s="158" t="str">
        <f ca="1">IFERROR(__xludf.DUMMYFUNCTION("""COMPUTED_VALUE"""),"---")</f>
        <v>---</v>
      </c>
      <c r="J81" t="str">
        <f ca="1">IFERROR(__xludf.DUMMYFUNCTION("""COMPUTED_VALUE"""),"")</f>
        <v/>
      </c>
      <c r="K81" t="str">
        <f ca="1">IFERROR(__xludf.DUMMYFUNCTION("""COMPUTED_VALUE"""),"")</f>
        <v/>
      </c>
      <c r="L81" t="str">
        <f ca="1">IFERROR(__xludf.DUMMYFUNCTION("""COMPUTED_VALUE"""),"")</f>
        <v/>
      </c>
      <c r="M81" t="str">
        <f ca="1">IFERROR(__xludf.DUMMYFUNCTION("""COMPUTED_VALUE"""),"")</f>
        <v/>
      </c>
      <c r="N81" t="str">
        <f ca="1">IFERROR(__xludf.DUMMYFUNCTION("""COMPUTED_VALUE"""),"")</f>
        <v/>
      </c>
      <c r="O81" t="str">
        <f ca="1">IFERROR(__xludf.DUMMYFUNCTION("""COMPUTED_VALUE"""),"")</f>
        <v/>
      </c>
      <c r="P81" t="str">
        <f ca="1">IFERROR(__xludf.DUMMYFUNCTION("""COMPUTED_VALUE"""),"")</f>
        <v/>
      </c>
      <c r="Q81" s="158">
        <f ca="1">IFERROR(__xludf.DUMMYFUNCTION("""COMPUTED_VALUE"""),0.511805555555555)</f>
        <v>0.51180555555555496</v>
      </c>
      <c r="R81" t="str">
        <f ca="1">IFERROR(__xludf.DUMMYFUNCTION("""COMPUTED_VALUE"""),"B")</f>
        <v>B</v>
      </c>
      <c r="S81" s="158">
        <f ca="1">IFERROR(__xludf.DUMMYFUNCTION("""COMPUTED_VALUE"""),0.55)</f>
        <v>0.55000000000000004</v>
      </c>
      <c r="T81" t="str">
        <f ca="1">IFERROR(__xludf.DUMMYFUNCTION("""COMPUTED_VALUE"""),"B")</f>
        <v>B</v>
      </c>
      <c r="U81" t="str">
        <f ca="1">IFERROR(__xludf.DUMMYFUNCTION("""COMPUTED_VALUE"""),"")</f>
        <v/>
      </c>
      <c r="V81" t="str">
        <f ca="1">IFERROR(__xludf.DUMMYFUNCTION("""COMPUTED_VALUE"""),"")</f>
        <v/>
      </c>
      <c r="W81" t="str">
        <f ca="1">IFERROR(__xludf.DUMMYFUNCTION("""COMPUTED_VALUE"""),"")</f>
        <v/>
      </c>
      <c r="X81" t="str">
        <f ca="1">IFERROR(__xludf.DUMMYFUNCTION("""COMPUTED_VALUE"""),"")</f>
        <v/>
      </c>
      <c r="Y81" t="str">
        <f ca="1">IFERROR(__xludf.DUMMYFUNCTION("""COMPUTED_VALUE"""),"ZŠ")</f>
        <v>ZŠ</v>
      </c>
      <c r="Z81" s="158" t="b">
        <f ca="1">IFERROR(__xludf.DUMMYFUNCTION("""COMPUTED_VALUE"""),FALSE)</f>
        <v>0</v>
      </c>
      <c r="AA81" t="b">
        <f ca="1">IFERROR(__xludf.DUMMYFUNCTION("""COMPUTED_VALUE"""),FALSE)</f>
        <v>0</v>
      </c>
      <c r="AB81" t="b">
        <f ca="1">IFERROR(__xludf.DUMMYFUNCTION("""COMPUTED_VALUE"""),FALSE)</f>
        <v>0</v>
      </c>
      <c r="AC81" t="b">
        <f ca="1">IFERROR(__xludf.DUMMYFUNCTION("""COMPUTED_VALUE"""),TRUE)</f>
        <v>1</v>
      </c>
      <c r="AD81" t="b">
        <f ca="1">IFERROR(__xludf.DUMMYFUNCTION("""COMPUTED_VALUE"""),FALSE)</f>
        <v>0</v>
      </c>
      <c r="AE81" t="b">
        <f ca="1">IFERROR(__xludf.DUMMYFUNCTION("""COMPUTED_VALUE"""),TRUE)</f>
        <v>1</v>
      </c>
      <c r="AF81" t="b">
        <f ca="1">IFERROR(__xludf.DUMMYFUNCTION("""COMPUTED_VALUE"""),FALSE)</f>
        <v>0</v>
      </c>
      <c r="AG81" t="str">
        <f ca="1">IFERROR(__xludf.DUMMYFUNCTION("""COMPUTED_VALUE"""),"Sprint - LEGO (drag race - Lego), Freestyle")</f>
        <v>Sprint - LEGO (drag race - Lego), Freestyle</v>
      </c>
    </row>
    <row r="82" spans="1:33" ht="13.2">
      <c r="A82">
        <f ca="1">IFERROR(__xludf.DUMMYFUNCTION("""COMPUTED_VALUE"""),82)</f>
        <v>82</v>
      </c>
      <c r="B82" t="str">
        <f ca="1">IFERROR(__xludf.DUMMYFUNCTION("""COMPUTED_VALUE"""),"Zlín")</f>
        <v>Zlín</v>
      </c>
      <c r="C82" t="str">
        <f ca="1">IFERROR(__xludf.DUMMYFUNCTION("""COMPUTED_VALUE"""),"Gymnázium Zlín - Lesní čtvrť")</f>
        <v>Gymnázium Zlín - Lesní čtvrť</v>
      </c>
      <c r="D82" t="str">
        <f ca="1">IFERROR(__xludf.DUMMYFUNCTION("""COMPUTED_VALUE"""),"Gymzláci")</f>
        <v>Gymzláci</v>
      </c>
      <c r="E82" s="158">
        <f ca="1">IFERROR(__xludf.DUMMYFUNCTION("""COMPUTED_VALUE"""),0.409027777777777)</f>
        <v>0.40902777777777699</v>
      </c>
      <c r="F82" t="str">
        <f ca="1">IFERROR(__xludf.DUMMYFUNCTION("""COMPUTED_VALUE"""),"A")</f>
        <v>A</v>
      </c>
      <c r="G82" s="158">
        <f ca="1">IFERROR(__xludf.DUMMYFUNCTION("""COMPUTED_VALUE"""),0.479166666666666)</f>
        <v>0.47916666666666602</v>
      </c>
      <c r="H82" t="str">
        <f ca="1">IFERROR(__xludf.DUMMYFUNCTION("""COMPUTED_VALUE"""),"A")</f>
        <v>A</v>
      </c>
      <c r="I82" s="158">
        <f ca="1">IFERROR(__xludf.DUMMYFUNCTION("""COMPUTED_VALUE"""),0.6)</f>
        <v>0.6</v>
      </c>
      <c r="J82" t="str">
        <f ca="1">IFERROR(__xludf.DUMMYFUNCTION("""COMPUTED_VALUE"""),"A")</f>
        <v>A</v>
      </c>
      <c r="K82" t="str">
        <f ca="1">IFERROR(__xludf.DUMMYFUNCTION("""COMPUTED_VALUE"""),"")</f>
        <v/>
      </c>
      <c r="L82" t="str">
        <f ca="1">IFERROR(__xludf.DUMMYFUNCTION("""COMPUTED_VALUE"""),"")</f>
        <v/>
      </c>
      <c r="M82" t="str">
        <f ca="1">IFERROR(__xludf.DUMMYFUNCTION("""COMPUTED_VALUE"""),"")</f>
        <v/>
      </c>
      <c r="N82" t="str">
        <f ca="1">IFERROR(__xludf.DUMMYFUNCTION("""COMPUTED_VALUE"""),"")</f>
        <v/>
      </c>
      <c r="O82" t="str">
        <f ca="1">IFERROR(__xludf.DUMMYFUNCTION("""COMPUTED_VALUE"""),"")</f>
        <v/>
      </c>
      <c r="P82" t="str">
        <f ca="1">IFERROR(__xludf.DUMMYFUNCTION("""COMPUTED_VALUE"""),"")</f>
        <v/>
      </c>
      <c r="Q82" s="158">
        <f ca="1">IFERROR(__xludf.DUMMYFUNCTION("""COMPUTED_VALUE"""),0.5125)</f>
        <v>0.51249999999999996</v>
      </c>
      <c r="R82" t="str">
        <f ca="1">IFERROR(__xludf.DUMMYFUNCTION("""COMPUTED_VALUE"""),"A")</f>
        <v>A</v>
      </c>
      <c r="S82" s="158">
        <f ca="1">IFERROR(__xludf.DUMMYFUNCTION("""COMPUTED_VALUE"""),0.550694444444444)</f>
        <v>0.55069444444444404</v>
      </c>
      <c r="T82" t="str">
        <f ca="1">IFERROR(__xludf.DUMMYFUNCTION("""COMPUTED_VALUE"""),"A")</f>
        <v>A</v>
      </c>
      <c r="U82" t="str">
        <f ca="1">IFERROR(__xludf.DUMMYFUNCTION("""COMPUTED_VALUE"""),"")</f>
        <v/>
      </c>
      <c r="V82" t="str">
        <f ca="1">IFERROR(__xludf.DUMMYFUNCTION("""COMPUTED_VALUE"""),"")</f>
        <v/>
      </c>
      <c r="W82" t="str">
        <f ca="1">IFERROR(__xludf.DUMMYFUNCTION("""COMPUTED_VALUE"""),"")</f>
        <v/>
      </c>
      <c r="X82" t="str">
        <f ca="1">IFERROR(__xludf.DUMMYFUNCTION("""COMPUTED_VALUE"""),"")</f>
        <v/>
      </c>
      <c r="Y82" t="str">
        <f ca="1">IFERROR(__xludf.DUMMYFUNCTION("""COMPUTED_VALUE"""),"ZŠ")</f>
        <v>ZŠ</v>
      </c>
      <c r="Z82" t="b">
        <f ca="1">IFERROR(__xludf.DUMMYFUNCTION("""COMPUTED_VALUE"""),TRUE)</f>
        <v>1</v>
      </c>
      <c r="AA82" t="b">
        <f ca="1">IFERROR(__xludf.DUMMYFUNCTION("""COMPUTED_VALUE"""),FALSE)</f>
        <v>0</v>
      </c>
      <c r="AB82" t="b">
        <f ca="1">IFERROR(__xludf.DUMMYFUNCTION("""COMPUTED_VALUE"""),FALSE)</f>
        <v>0</v>
      </c>
      <c r="AC82" t="b">
        <f ca="1">IFERROR(__xludf.DUMMYFUNCTION("""COMPUTED_VALUE"""),TRUE)</f>
        <v>1</v>
      </c>
      <c r="AD82" t="b">
        <f ca="1">IFERROR(__xludf.DUMMYFUNCTION("""COMPUTED_VALUE"""),FALSE)</f>
        <v>0</v>
      </c>
      <c r="AE82" t="b">
        <f ca="1">IFERROR(__xludf.DUMMYFUNCTION("""COMPUTED_VALUE"""),TRUE)</f>
        <v>1</v>
      </c>
      <c r="AF82" t="b">
        <f ca="1">IFERROR(__xludf.DUMMYFUNCTION("""COMPUTED_VALUE"""),FALSE)</f>
        <v>0</v>
      </c>
      <c r="AG82" t="str">
        <f ca="1">IFERROR(__xludf.DUMMYFUNCTION("""COMPUTED_VALUE"""),"Sprint - LEGO (drag race - Lego), Freestyle")</f>
        <v>Sprint - LEGO (drag race - Lego), Freestyle</v>
      </c>
    </row>
    <row r="83" spans="1:33" ht="13.2">
      <c r="A83">
        <f ca="1">IFERROR(__xludf.DUMMYFUNCTION("""COMPUTED_VALUE"""),83)</f>
        <v>83</v>
      </c>
      <c r="B83" t="str">
        <f ca="1">IFERROR(__xludf.DUMMYFUNCTION("""COMPUTED_VALUE"""),"Zlín")</f>
        <v>Zlín</v>
      </c>
      <c r="C83" t="str">
        <f ca="1">IFERROR(__xludf.DUMMYFUNCTION("""COMPUTED_VALUE"""),"Gymnázium Zlín - Lesní čtvrť")</f>
        <v>Gymnázium Zlín - Lesní čtvrť</v>
      </c>
      <c r="D83" t="str">
        <f ca="1">IFERROR(__xludf.DUMMYFUNCTION("""COMPUTED_VALUE"""),"Kriegsmarine")</f>
        <v>Kriegsmarine</v>
      </c>
      <c r="E83" s="158" t="str">
        <f ca="1">IFERROR(__xludf.DUMMYFUNCTION("""COMPUTED_VALUE"""),"---")</f>
        <v>---</v>
      </c>
      <c r="F83" t="str">
        <f ca="1">IFERROR(__xludf.DUMMYFUNCTION("""COMPUTED_VALUE"""),"")</f>
        <v/>
      </c>
      <c r="G83" s="158" t="str">
        <f ca="1">IFERROR(__xludf.DUMMYFUNCTION("""COMPUTED_VALUE"""),"---")</f>
        <v>---</v>
      </c>
      <c r="H83" t="str">
        <f ca="1">IFERROR(__xludf.DUMMYFUNCTION("""COMPUTED_VALUE"""),"")</f>
        <v/>
      </c>
      <c r="I83" s="158" t="str">
        <f ca="1">IFERROR(__xludf.DUMMYFUNCTION("""COMPUTED_VALUE"""),"---")</f>
        <v>---</v>
      </c>
      <c r="J83" t="str">
        <f ca="1">IFERROR(__xludf.DUMMYFUNCTION("""COMPUTED_VALUE"""),"")</f>
        <v/>
      </c>
      <c r="K83" t="str">
        <f ca="1">IFERROR(__xludf.DUMMYFUNCTION("""COMPUTED_VALUE"""),"")</f>
        <v/>
      </c>
      <c r="L83" t="str">
        <f ca="1">IFERROR(__xludf.DUMMYFUNCTION("""COMPUTED_VALUE"""),"")</f>
        <v/>
      </c>
      <c r="M83" t="str">
        <f ca="1">IFERROR(__xludf.DUMMYFUNCTION("""COMPUTED_VALUE"""),"")</f>
        <v/>
      </c>
      <c r="N83" t="str">
        <f ca="1">IFERROR(__xludf.DUMMYFUNCTION("""COMPUTED_VALUE"""),"")</f>
        <v/>
      </c>
      <c r="O83" t="str">
        <f ca="1">IFERROR(__xludf.DUMMYFUNCTION("""COMPUTED_VALUE"""),"")</f>
        <v/>
      </c>
      <c r="P83" t="str">
        <f ca="1">IFERROR(__xludf.DUMMYFUNCTION("""COMPUTED_VALUE"""),"")</f>
        <v/>
      </c>
      <c r="Q83" s="158">
        <f ca="1">IFERROR(__xludf.DUMMYFUNCTION("""COMPUTED_VALUE"""),0.5125)</f>
        <v>0.51249999999999996</v>
      </c>
      <c r="R83" t="str">
        <f ca="1">IFERROR(__xludf.DUMMYFUNCTION("""COMPUTED_VALUE"""),"B")</f>
        <v>B</v>
      </c>
      <c r="S83" s="158">
        <f ca="1">IFERROR(__xludf.DUMMYFUNCTION("""COMPUTED_VALUE"""),0.550694444444444)</f>
        <v>0.55069444444444404</v>
      </c>
      <c r="T83" t="str">
        <f ca="1">IFERROR(__xludf.DUMMYFUNCTION("""COMPUTED_VALUE"""),"B")</f>
        <v>B</v>
      </c>
      <c r="U83" t="str">
        <f ca="1">IFERROR(__xludf.DUMMYFUNCTION("""COMPUTED_VALUE"""),"")</f>
        <v/>
      </c>
      <c r="V83" t="str">
        <f ca="1">IFERROR(__xludf.DUMMYFUNCTION("""COMPUTED_VALUE"""),"")</f>
        <v/>
      </c>
      <c r="W83" t="str">
        <f ca="1">IFERROR(__xludf.DUMMYFUNCTION("""COMPUTED_VALUE"""),"")</f>
        <v/>
      </c>
      <c r="X83" t="str">
        <f ca="1">IFERROR(__xludf.DUMMYFUNCTION("""COMPUTED_VALUE"""),"")</f>
        <v/>
      </c>
      <c r="Y83" t="str">
        <f ca="1">IFERROR(__xludf.DUMMYFUNCTION("""COMPUTED_VALUE"""),"SŠ")</f>
        <v>SŠ</v>
      </c>
      <c r="Z83" s="158" t="b">
        <f ca="1">IFERROR(__xludf.DUMMYFUNCTION("""COMPUTED_VALUE"""),FALSE)</f>
        <v>0</v>
      </c>
      <c r="AA83" t="b">
        <f ca="1">IFERROR(__xludf.DUMMYFUNCTION("""COMPUTED_VALUE"""),FALSE)</f>
        <v>0</v>
      </c>
      <c r="AB83" t="b">
        <f ca="1">IFERROR(__xludf.DUMMYFUNCTION("""COMPUTED_VALUE"""),FALSE)</f>
        <v>0</v>
      </c>
      <c r="AC83" t="b">
        <f ca="1">IFERROR(__xludf.DUMMYFUNCTION("""COMPUTED_VALUE"""),TRUE)</f>
        <v>1</v>
      </c>
      <c r="AD83" t="b">
        <f ca="1">IFERROR(__xludf.DUMMYFUNCTION("""COMPUTED_VALUE"""),FALSE)</f>
        <v>0</v>
      </c>
      <c r="AE83" t="b">
        <f ca="1">IFERROR(__xludf.DUMMYFUNCTION("""COMPUTED_VALUE"""),FALSE)</f>
        <v>0</v>
      </c>
      <c r="AF83" t="b">
        <f ca="1">IFERROR(__xludf.DUMMYFUNCTION("""COMPUTED_VALUE"""),FALSE)</f>
        <v>0</v>
      </c>
      <c r="AG83" t="str">
        <f ca="1">IFERROR(__xludf.DUMMYFUNCTION("""COMPUTED_VALUE"""),"Sprint - LEGO (drag race - Lego)")</f>
        <v>Sprint - LEGO (drag race - Lego)</v>
      </c>
    </row>
    <row r="84" spans="1:33" ht="13.2">
      <c r="A84">
        <f ca="1">IFERROR(__xludf.DUMMYFUNCTION("""COMPUTED_VALUE"""),84)</f>
        <v>84</v>
      </c>
      <c r="B84" t="str">
        <f ca="1">IFERROR(__xludf.DUMMYFUNCTION("""COMPUTED_VALUE"""),"Zlín")</f>
        <v>Zlín</v>
      </c>
      <c r="C84" t="str">
        <f ca="1">IFERROR(__xludf.DUMMYFUNCTION("""COMPUTED_VALUE"""),"Gymnázium Zlín - Lesní čtvrť")</f>
        <v>Gymnázium Zlín - Lesní čtvrť</v>
      </c>
      <c r="D84" t="str">
        <f ca="1">IFERROR(__xludf.DUMMYFUNCTION("""COMPUTED_VALUE"""),"GZ - Team")</f>
        <v>GZ - Team</v>
      </c>
      <c r="E84" s="158">
        <f ca="1">IFERROR(__xludf.DUMMYFUNCTION("""COMPUTED_VALUE"""),0.424305555555555)</f>
        <v>0.42430555555555499</v>
      </c>
      <c r="F84" t="str">
        <f ca="1">IFERROR(__xludf.DUMMYFUNCTION("""COMPUTED_VALUE"""),"A")</f>
        <v>A</v>
      </c>
      <c r="G84" s="158">
        <f ca="1">IFERROR(__xludf.DUMMYFUNCTION("""COMPUTED_VALUE"""),0.494444444444444)</f>
        <v>0.49444444444444402</v>
      </c>
      <c r="H84" t="str">
        <f ca="1">IFERROR(__xludf.DUMMYFUNCTION("""COMPUTED_VALUE"""),"A")</f>
        <v>A</v>
      </c>
      <c r="I84" s="158">
        <f ca="1">IFERROR(__xludf.DUMMYFUNCTION("""COMPUTED_VALUE"""),0.569444444444444)</f>
        <v>0.56944444444444398</v>
      </c>
      <c r="J84" t="str">
        <f ca="1">IFERROR(__xludf.DUMMYFUNCTION("""COMPUTED_VALUE"""),"A")</f>
        <v>A</v>
      </c>
      <c r="K84" s="158">
        <f ca="1">IFERROR(__xludf.DUMMYFUNCTION("""COMPUTED_VALUE"""),0.453472222222222)</f>
        <v>0.453472222222222</v>
      </c>
      <c r="L84" t="str">
        <f ca="1">IFERROR(__xludf.DUMMYFUNCTION("""COMPUTED_VALUE"""),"A")</f>
        <v>A</v>
      </c>
      <c r="M84" s="158">
        <f ca="1">IFERROR(__xludf.DUMMYFUNCTION("""COMPUTED_VALUE"""),0.54375)</f>
        <v>0.54374999999999996</v>
      </c>
      <c r="N84" t="str">
        <f ca="1">IFERROR(__xludf.DUMMYFUNCTION("""COMPUTED_VALUE"""),"A")</f>
        <v>A</v>
      </c>
      <c r="O84" t="str">
        <f ca="1">IFERROR(__xludf.DUMMYFUNCTION("""COMPUTED_VALUE"""),"")</f>
        <v/>
      </c>
      <c r="P84" t="str">
        <f ca="1">IFERROR(__xludf.DUMMYFUNCTION("""COMPUTED_VALUE"""),"")</f>
        <v/>
      </c>
      <c r="Q84" t="str">
        <f ca="1">IFERROR(__xludf.DUMMYFUNCTION("""COMPUTED_VALUE"""),"")</f>
        <v/>
      </c>
      <c r="R84" t="str">
        <f ca="1">IFERROR(__xludf.DUMMYFUNCTION("""COMPUTED_VALUE"""),"")</f>
        <v/>
      </c>
      <c r="S84" t="str">
        <f ca="1">IFERROR(__xludf.DUMMYFUNCTION("""COMPUTED_VALUE"""),"")</f>
        <v/>
      </c>
      <c r="T84" t="str">
        <f ca="1">IFERROR(__xludf.DUMMYFUNCTION("""COMPUTED_VALUE"""),"")</f>
        <v/>
      </c>
      <c r="U84" t="str">
        <f ca="1">IFERROR(__xludf.DUMMYFUNCTION("""COMPUTED_VALUE"""),"")</f>
        <v/>
      </c>
      <c r="V84" t="str">
        <f ca="1">IFERROR(__xludf.DUMMYFUNCTION("""COMPUTED_VALUE"""),"")</f>
        <v/>
      </c>
      <c r="W84" t="str">
        <f ca="1">IFERROR(__xludf.DUMMYFUNCTION("""COMPUTED_VALUE"""),"")</f>
        <v/>
      </c>
      <c r="X84" t="str">
        <f ca="1">IFERROR(__xludf.DUMMYFUNCTION("""COMPUTED_VALUE"""),"")</f>
        <v/>
      </c>
      <c r="Y84" t="str">
        <f ca="1">IFERROR(__xludf.DUMMYFUNCTION("""COMPUTED_VALUE"""),"SŠ")</f>
        <v>SŠ</v>
      </c>
      <c r="Z84" t="b">
        <f ca="1">IFERROR(__xludf.DUMMYFUNCTION("""COMPUTED_VALUE"""),TRUE)</f>
        <v>1</v>
      </c>
      <c r="AA84" t="b">
        <f ca="1">IFERROR(__xludf.DUMMYFUNCTION("""COMPUTED_VALUE"""),TRUE)</f>
        <v>1</v>
      </c>
      <c r="AB84" t="b">
        <f ca="1">IFERROR(__xludf.DUMMYFUNCTION("""COMPUTED_VALUE"""),FALSE)</f>
        <v>0</v>
      </c>
      <c r="AC84" t="b">
        <f ca="1">IFERROR(__xludf.DUMMYFUNCTION("""COMPUTED_VALUE"""),FALSE)</f>
        <v>0</v>
      </c>
      <c r="AD84" t="b">
        <f ca="1">IFERROR(__xludf.DUMMYFUNCTION("""COMPUTED_VALUE"""),FALSE)</f>
        <v>0</v>
      </c>
      <c r="AE84" t="b">
        <f ca="1">IFERROR(__xludf.DUMMYFUNCTION("""COMPUTED_VALUE"""),FALSE)</f>
        <v>0</v>
      </c>
      <c r="AF84" t="b">
        <f ca="1">IFERROR(__xludf.DUMMYFUNCTION("""COMPUTED_VALUE"""),FALSE)</f>
        <v>0</v>
      </c>
      <c r="AG84" t="str">
        <f ca="1">IFERROR(__xludf.DUMMYFUNCTION("""COMPUTED_VALUE"""),"Čára (line follower), Autonomní medvěd (bear rescue advance)")</f>
        <v>Čára (line follower), Autonomní medvěd (bear rescue advance)</v>
      </c>
    </row>
    <row r="85" spans="1:33" ht="13.2">
      <c r="A85">
        <f ca="1">IFERROR(__xludf.DUMMYFUNCTION("""COMPUTED_VALUE"""),85)</f>
        <v>85</v>
      </c>
      <c r="B85" t="str">
        <f ca="1">IFERROR(__xludf.DUMMYFUNCTION("""COMPUTED_VALUE"""),"Zlín")</f>
        <v>Zlín</v>
      </c>
      <c r="C85" t="str">
        <f ca="1">IFERROR(__xludf.DUMMYFUNCTION("""COMPUTED_VALUE"""),"Gymniázium Zlín - Lesní čtvrť")</f>
        <v>Gymniázium Zlín - Lesní čtvrť</v>
      </c>
      <c r="D85" t="str">
        <f ca="1">IFERROR(__xludf.DUMMYFUNCTION("""COMPUTED_VALUE"""),"Discindo Universio")</f>
        <v>Discindo Universio</v>
      </c>
      <c r="E85" t="str">
        <f ca="1">IFERROR(__xludf.DUMMYFUNCTION("""COMPUTED_VALUE"""),"---")</f>
        <v>---</v>
      </c>
      <c r="F85" t="str">
        <f ca="1">IFERROR(__xludf.DUMMYFUNCTION("""COMPUTED_VALUE"""),"")</f>
        <v/>
      </c>
      <c r="G85" t="str">
        <f ca="1">IFERROR(__xludf.DUMMYFUNCTION("""COMPUTED_VALUE"""),"---")</f>
        <v>---</v>
      </c>
      <c r="H85" t="str">
        <f ca="1">IFERROR(__xludf.DUMMYFUNCTION("""COMPUTED_VALUE"""),"")</f>
        <v/>
      </c>
      <c r="I85" t="str">
        <f ca="1">IFERROR(__xludf.DUMMYFUNCTION("""COMPUTED_VALUE"""),"---")</f>
        <v>---</v>
      </c>
      <c r="J85" t="str">
        <f ca="1">IFERROR(__xludf.DUMMYFUNCTION("""COMPUTED_VALUE"""),"")</f>
        <v/>
      </c>
      <c r="K85" t="str">
        <f ca="1">IFERROR(__xludf.DUMMYFUNCTION("""COMPUTED_VALUE"""),"")</f>
        <v/>
      </c>
      <c r="L85" t="str">
        <f ca="1">IFERROR(__xludf.DUMMYFUNCTION("""COMPUTED_VALUE"""),"")</f>
        <v/>
      </c>
      <c r="M85" t="str">
        <f ca="1">IFERROR(__xludf.DUMMYFUNCTION("""COMPUTED_VALUE"""),"")</f>
        <v/>
      </c>
      <c r="N85" t="str">
        <f ca="1">IFERROR(__xludf.DUMMYFUNCTION("""COMPUTED_VALUE"""),"")</f>
        <v/>
      </c>
      <c r="O85" t="str">
        <f ca="1">IFERROR(__xludf.DUMMYFUNCTION("""COMPUTED_VALUE"""),"")</f>
        <v/>
      </c>
      <c r="P85" t="str">
        <f ca="1">IFERROR(__xludf.DUMMYFUNCTION("""COMPUTED_VALUE"""),"")</f>
        <v/>
      </c>
      <c r="Q85" s="158">
        <f ca="1">IFERROR(__xludf.DUMMYFUNCTION("""COMPUTED_VALUE"""),0.513194444444444)</f>
        <v>0.51319444444444395</v>
      </c>
      <c r="R85" t="str">
        <f ca="1">IFERROR(__xludf.DUMMYFUNCTION("""COMPUTED_VALUE"""),"A")</f>
        <v>A</v>
      </c>
      <c r="S85" s="158">
        <f ca="1">IFERROR(__xludf.DUMMYFUNCTION("""COMPUTED_VALUE"""),0.551388888888888)</f>
        <v>0.55138888888888804</v>
      </c>
      <c r="T85" t="str">
        <f ca="1">IFERROR(__xludf.DUMMYFUNCTION("""COMPUTED_VALUE"""),"A")</f>
        <v>A</v>
      </c>
      <c r="U85" t="str">
        <f ca="1">IFERROR(__xludf.DUMMYFUNCTION("""COMPUTED_VALUE"""),"")</f>
        <v/>
      </c>
      <c r="V85" t="str">
        <f ca="1">IFERROR(__xludf.DUMMYFUNCTION("""COMPUTED_VALUE"""),"")</f>
        <v/>
      </c>
      <c r="W85" t="str">
        <f ca="1">IFERROR(__xludf.DUMMYFUNCTION("""COMPUTED_VALUE"""),"")</f>
        <v/>
      </c>
      <c r="X85" t="str">
        <f ca="1">IFERROR(__xludf.DUMMYFUNCTION("""COMPUTED_VALUE"""),"")</f>
        <v/>
      </c>
      <c r="Y85" t="str">
        <f ca="1">IFERROR(__xludf.DUMMYFUNCTION("""COMPUTED_VALUE"""),"ZŠ")</f>
        <v>ZŠ</v>
      </c>
      <c r="Z85" s="158" t="b">
        <f ca="1">IFERROR(__xludf.DUMMYFUNCTION("""COMPUTED_VALUE"""),FALSE)</f>
        <v>0</v>
      </c>
      <c r="AA85" t="b">
        <f ca="1">IFERROR(__xludf.DUMMYFUNCTION("""COMPUTED_VALUE"""),FALSE)</f>
        <v>0</v>
      </c>
      <c r="AB85" t="b">
        <f ca="1">IFERROR(__xludf.DUMMYFUNCTION("""COMPUTED_VALUE"""),FALSE)</f>
        <v>0</v>
      </c>
      <c r="AC85" t="b">
        <f ca="1">IFERROR(__xludf.DUMMYFUNCTION("""COMPUTED_VALUE"""),TRUE)</f>
        <v>1</v>
      </c>
      <c r="AD85" t="b">
        <f ca="1">IFERROR(__xludf.DUMMYFUNCTION("""COMPUTED_VALUE"""),FALSE)</f>
        <v>0</v>
      </c>
      <c r="AE85" t="b">
        <f ca="1">IFERROR(__xludf.DUMMYFUNCTION("""COMPUTED_VALUE"""),TRUE)</f>
        <v>1</v>
      </c>
      <c r="AF85" t="b">
        <f ca="1">IFERROR(__xludf.DUMMYFUNCTION("""COMPUTED_VALUE"""),FALSE)</f>
        <v>0</v>
      </c>
      <c r="AG85" t="str">
        <f ca="1">IFERROR(__xludf.DUMMYFUNCTION("""COMPUTED_VALUE"""),"Sprint - LEGO (drag race - Lego), Freestyle")</f>
        <v>Sprint - LEGO (drag race - Lego), Freestyle</v>
      </c>
    </row>
    <row r="86" spans="1:33" ht="13.2">
      <c r="A86">
        <f ca="1">IFERROR(__xludf.DUMMYFUNCTION("""COMPUTED_VALUE"""),88)</f>
        <v>88</v>
      </c>
      <c r="B86" t="str">
        <f ca="1">IFERROR(__xludf.DUMMYFUNCTION("""COMPUTED_VALUE"""),"Podolie")</f>
        <v>Podolie</v>
      </c>
      <c r="C86" t="str">
        <f ca="1">IFERROR(__xludf.DUMMYFUNCTION("""COMPUTED_VALUE"""),"ZŠ s MŠ Podolie")</f>
        <v>ZŠ s MŠ Podolie</v>
      </c>
      <c r="D86" t="str">
        <f ca="1">IFERROR(__xludf.DUMMYFUNCTION("""COMPUTED_VALUE"""),"TAJM")</f>
        <v>TAJM</v>
      </c>
      <c r="E86" s="158">
        <f ca="1">IFERROR(__xludf.DUMMYFUNCTION("""COMPUTED_VALUE"""),0.427083333333333)</f>
        <v>0.42708333333333298</v>
      </c>
      <c r="F86" t="str">
        <f ca="1">IFERROR(__xludf.DUMMYFUNCTION("""COMPUTED_VALUE"""),"B")</f>
        <v>B</v>
      </c>
      <c r="G86" s="158">
        <f ca="1">IFERROR(__xludf.DUMMYFUNCTION("""COMPUTED_VALUE"""),0.497222222222222)</f>
        <v>0.49722222222222201</v>
      </c>
      <c r="H86" t="str">
        <f ca="1">IFERROR(__xludf.DUMMYFUNCTION("""COMPUTED_VALUE"""),"B")</f>
        <v>B</v>
      </c>
      <c r="I86" s="158">
        <f ca="1">IFERROR(__xludf.DUMMYFUNCTION("""COMPUTED_VALUE"""),0.572222222222222)</f>
        <v>0.57222222222222197</v>
      </c>
      <c r="J86" t="str">
        <f ca="1">IFERROR(__xludf.DUMMYFUNCTION("""COMPUTED_VALUE"""),"B")</f>
        <v>B</v>
      </c>
      <c r="K86" t="str">
        <f ca="1">IFERROR(__xludf.DUMMYFUNCTION("""COMPUTED_VALUE"""),"")</f>
        <v/>
      </c>
      <c r="L86" t="str">
        <f ca="1">IFERROR(__xludf.DUMMYFUNCTION("""COMPUTED_VALUE"""),"")</f>
        <v/>
      </c>
      <c r="M86" t="str">
        <f ca="1">IFERROR(__xludf.DUMMYFUNCTION("""COMPUTED_VALUE"""),"")</f>
        <v/>
      </c>
      <c r="N86" t="str">
        <f ca="1">IFERROR(__xludf.DUMMYFUNCTION("""COMPUTED_VALUE"""),"")</f>
        <v/>
      </c>
      <c r="O86" t="str">
        <f ca="1">IFERROR(__xludf.DUMMYFUNCTION("""COMPUTED_VALUE"""),"")</f>
        <v/>
      </c>
      <c r="P86" t="str">
        <f ca="1">IFERROR(__xludf.DUMMYFUNCTION("""COMPUTED_VALUE"""),"")</f>
        <v/>
      </c>
      <c r="Q86" s="158">
        <f ca="1">IFERROR(__xludf.DUMMYFUNCTION("""COMPUTED_VALUE"""),0.513888888888888)</f>
        <v>0.51388888888888795</v>
      </c>
      <c r="R86" t="str">
        <f ca="1">IFERROR(__xludf.DUMMYFUNCTION("""COMPUTED_VALUE"""),"B")</f>
        <v>B</v>
      </c>
      <c r="S86" s="158">
        <f ca="1">IFERROR(__xludf.DUMMYFUNCTION("""COMPUTED_VALUE"""),0.552083333333333)</f>
        <v>0.55208333333333304</v>
      </c>
      <c r="T86" t="str">
        <f ca="1">IFERROR(__xludf.DUMMYFUNCTION("""COMPUTED_VALUE"""),"B")</f>
        <v>B</v>
      </c>
      <c r="U86" t="str">
        <f ca="1">IFERROR(__xludf.DUMMYFUNCTION("""COMPUTED_VALUE"""),"")</f>
        <v/>
      </c>
      <c r="V86" t="str">
        <f ca="1">IFERROR(__xludf.DUMMYFUNCTION("""COMPUTED_VALUE"""),"")</f>
        <v/>
      </c>
      <c r="W86" t="str">
        <f ca="1">IFERROR(__xludf.DUMMYFUNCTION("""COMPUTED_VALUE"""),"")</f>
        <v/>
      </c>
      <c r="X86" t="str">
        <f ca="1">IFERROR(__xludf.DUMMYFUNCTION("""COMPUTED_VALUE"""),"")</f>
        <v/>
      </c>
      <c r="Y86" t="str">
        <f ca="1">IFERROR(__xludf.DUMMYFUNCTION("""COMPUTED_VALUE"""),"ZŠ")</f>
        <v>ZŠ</v>
      </c>
      <c r="Z86" t="b">
        <f ca="1">IFERROR(__xludf.DUMMYFUNCTION("""COMPUTED_VALUE"""),TRUE)</f>
        <v>1</v>
      </c>
      <c r="AA86" t="b">
        <f ca="1">IFERROR(__xludf.DUMMYFUNCTION("""COMPUTED_VALUE"""),FALSE)</f>
        <v>0</v>
      </c>
      <c r="AB86" t="b">
        <f ca="1">IFERROR(__xludf.DUMMYFUNCTION("""COMPUTED_VALUE"""),FALSE)</f>
        <v>0</v>
      </c>
      <c r="AC86" t="b">
        <f ca="1">IFERROR(__xludf.DUMMYFUNCTION("""COMPUTED_VALUE"""),TRUE)</f>
        <v>1</v>
      </c>
      <c r="AD86" t="b">
        <f ca="1">IFERROR(__xludf.DUMMYFUNCTION("""COMPUTED_VALUE"""),FALSE)</f>
        <v>0</v>
      </c>
      <c r="AE86" t="b">
        <f ca="1">IFERROR(__xludf.DUMMYFUNCTION("""COMPUTED_VALUE"""),FALSE)</f>
        <v>0</v>
      </c>
      <c r="AF86" t="b">
        <f ca="1">IFERROR(__xludf.DUMMYFUNCTION("""COMPUTED_VALUE"""),FALSE)</f>
        <v>0</v>
      </c>
      <c r="AG86" t="str">
        <f ca="1">IFERROR(__xludf.DUMMYFUNCTION("""COMPUTED_VALUE"""),"Čára (line follower), Sprint - LEGO (drag race - Lego)")</f>
        <v>Čára (line follower), Sprint - LEGO (drag race - Lego)</v>
      </c>
    </row>
    <row r="87" spans="1:33" ht="13.2">
      <c r="A87">
        <f ca="1">IFERROR(__xludf.DUMMYFUNCTION("""COMPUTED_VALUE"""),89)</f>
        <v>89</v>
      </c>
      <c r="B87" t="str">
        <f ca="1">IFERROR(__xludf.DUMMYFUNCTION("""COMPUTED_VALUE"""),"Šumperk")</f>
        <v>Šumperk</v>
      </c>
      <c r="C87" t="str">
        <f ca="1">IFERROR(__xludf.DUMMYFUNCTION("""COMPUTED_VALUE"""),"ZŠ Šumperk, 8. května")</f>
        <v>ZŠ Šumperk, 8. května</v>
      </c>
      <c r="D87" t="str">
        <f ca="1">IFERROR(__xludf.DUMMYFUNCTION("""COMPUTED_VALUE"""),"Hlucháci")</f>
        <v>Hlucháci</v>
      </c>
      <c r="E87" s="158">
        <f ca="1">IFERROR(__xludf.DUMMYFUNCTION("""COMPUTED_VALUE"""),0.427083333333333)</f>
        <v>0.42708333333333298</v>
      </c>
      <c r="F87" t="str">
        <f ca="1">IFERROR(__xludf.DUMMYFUNCTION("""COMPUTED_VALUE"""),"A")</f>
        <v>A</v>
      </c>
      <c r="G87" s="158">
        <f ca="1">IFERROR(__xludf.DUMMYFUNCTION("""COMPUTED_VALUE"""),0.497222222222222)</f>
        <v>0.49722222222222201</v>
      </c>
      <c r="H87" t="str">
        <f ca="1">IFERROR(__xludf.DUMMYFUNCTION("""COMPUTED_VALUE"""),"A")</f>
        <v>A</v>
      </c>
      <c r="I87" s="158">
        <f ca="1">IFERROR(__xludf.DUMMYFUNCTION("""COMPUTED_VALUE"""),0.572222222222222)</f>
        <v>0.57222222222222197</v>
      </c>
      <c r="J87" t="str">
        <f ca="1">IFERROR(__xludf.DUMMYFUNCTION("""COMPUTED_VALUE"""),"A")</f>
        <v>A</v>
      </c>
      <c r="K87" s="158">
        <f ca="1">IFERROR(__xludf.DUMMYFUNCTION("""COMPUTED_VALUE"""),0.453472222222222)</f>
        <v>0.453472222222222</v>
      </c>
      <c r="L87" t="str">
        <f ca="1">IFERROR(__xludf.DUMMYFUNCTION("""COMPUTED_VALUE"""),"B")</f>
        <v>B</v>
      </c>
      <c r="M87" s="158">
        <f ca="1">IFERROR(__xludf.DUMMYFUNCTION("""COMPUTED_VALUE"""),0.54375)</f>
        <v>0.54374999999999996</v>
      </c>
      <c r="N87" t="str">
        <f ca="1">IFERROR(__xludf.DUMMYFUNCTION("""COMPUTED_VALUE"""),"B")</f>
        <v>B</v>
      </c>
      <c r="O87" t="str">
        <f ca="1">IFERROR(__xludf.DUMMYFUNCTION("""COMPUTED_VALUE"""),"")</f>
        <v/>
      </c>
      <c r="P87" t="str">
        <f ca="1">IFERROR(__xludf.DUMMYFUNCTION("""COMPUTED_VALUE"""),"")</f>
        <v/>
      </c>
      <c r="Q87" s="158">
        <f ca="1">IFERROR(__xludf.DUMMYFUNCTION("""COMPUTED_VALUE"""),0.514583333333333)</f>
        <v>0.51458333333333295</v>
      </c>
      <c r="R87" t="str">
        <f ca="1">IFERROR(__xludf.DUMMYFUNCTION("""COMPUTED_VALUE"""),"A")</f>
        <v>A</v>
      </c>
      <c r="S87" s="158">
        <f ca="1">IFERROR(__xludf.DUMMYFUNCTION("""COMPUTED_VALUE"""),0.552777777777777)</f>
        <v>0.55277777777777704</v>
      </c>
      <c r="T87" t="str">
        <f ca="1">IFERROR(__xludf.DUMMYFUNCTION("""COMPUTED_VALUE"""),"A")</f>
        <v>A</v>
      </c>
      <c r="U87" t="str">
        <f ca="1">IFERROR(__xludf.DUMMYFUNCTION("""COMPUTED_VALUE"""),"")</f>
        <v/>
      </c>
      <c r="V87" t="str">
        <f ca="1">IFERROR(__xludf.DUMMYFUNCTION("""COMPUTED_VALUE"""),"")</f>
        <v/>
      </c>
      <c r="W87" t="str">
        <f ca="1">IFERROR(__xludf.DUMMYFUNCTION("""COMPUTED_VALUE"""),"")</f>
        <v/>
      </c>
      <c r="X87" t="str">
        <f ca="1">IFERROR(__xludf.DUMMYFUNCTION("""COMPUTED_VALUE"""),"")</f>
        <v/>
      </c>
      <c r="Y87" t="str">
        <f ca="1">IFERROR(__xludf.DUMMYFUNCTION("""COMPUTED_VALUE"""),"ZŠ")</f>
        <v>ZŠ</v>
      </c>
      <c r="Z87" t="b">
        <f ca="1">IFERROR(__xludf.DUMMYFUNCTION("""COMPUTED_VALUE"""),TRUE)</f>
        <v>1</v>
      </c>
      <c r="AA87" t="b">
        <f ca="1">IFERROR(__xludf.DUMMYFUNCTION("""COMPUTED_VALUE"""),TRUE)</f>
        <v>1</v>
      </c>
      <c r="AB87" t="b">
        <f ca="1">IFERROR(__xludf.DUMMYFUNCTION("""COMPUTED_VALUE"""),FALSE)</f>
        <v>0</v>
      </c>
      <c r="AC87" t="b">
        <f ca="1">IFERROR(__xludf.DUMMYFUNCTION("""COMPUTED_VALUE"""),TRUE)</f>
        <v>1</v>
      </c>
      <c r="AD87" t="b">
        <f ca="1">IFERROR(__xludf.DUMMYFUNCTION("""COMPUTED_VALUE"""),FALSE)</f>
        <v>0</v>
      </c>
      <c r="AE87" t="b">
        <f ca="1">IFERROR(__xludf.DUMMYFUNCTION("""COMPUTED_VALUE"""),FALSE)</f>
        <v>0</v>
      </c>
      <c r="AF87" t="b">
        <f ca="1">IFERROR(__xludf.DUMMYFUNCTION("""COMPUTED_VALUE"""),FALSE)</f>
        <v>0</v>
      </c>
      <c r="AG87" t="str">
        <f ca="1">IFERROR(__xludf.DUMMYFUNCTION("""COMPUTED_VALUE"""),"Čára (line follower), Autonomní medvěd (bear rescue advance), Sprint - LEGO (drag race - Lego)")</f>
        <v>Čára (line follower), Autonomní medvěd (bear rescue advance), Sprint - LEGO (drag race - Lego)</v>
      </c>
    </row>
    <row r="88" spans="1:33" ht="13.2">
      <c r="A88">
        <f ca="1">IFERROR(__xludf.DUMMYFUNCTION("""COMPUTED_VALUE"""),91)</f>
        <v>91</v>
      </c>
      <c r="B88" t="str">
        <f ca="1">IFERROR(__xludf.DUMMYFUNCTION("""COMPUTED_VALUE"""),"Znojmo")</f>
        <v>Znojmo</v>
      </c>
      <c r="C88" t="str">
        <f ca="1">IFERROR(__xludf.DUMMYFUNCTION("""COMPUTED_VALUE"""),"ZŠ, Znojmo, Mládeže 3")</f>
        <v>ZŠ, Znojmo, Mládeže 3</v>
      </c>
      <c r="D88" t="str">
        <f ca="1">IFERROR(__xludf.DUMMYFUNCTION("""COMPUTED_VALUE"""),"Androidi")</f>
        <v>Androidi</v>
      </c>
      <c r="E88" s="158">
        <f ca="1">IFERROR(__xludf.DUMMYFUNCTION("""COMPUTED_VALUE"""),0.428472222222222)</f>
        <v>0.42847222222222198</v>
      </c>
      <c r="F88" t="str">
        <f ca="1">IFERROR(__xludf.DUMMYFUNCTION("""COMPUTED_VALUE"""),"B")</f>
        <v>B</v>
      </c>
      <c r="G88" s="158">
        <f ca="1">IFERROR(__xludf.DUMMYFUNCTION("""COMPUTED_VALUE"""),0.498611111111111)</f>
        <v>0.49861111111111101</v>
      </c>
      <c r="H88" t="str">
        <f ca="1">IFERROR(__xludf.DUMMYFUNCTION("""COMPUTED_VALUE"""),"B")</f>
        <v>B</v>
      </c>
      <c r="I88" s="158">
        <f ca="1">IFERROR(__xludf.DUMMYFUNCTION("""COMPUTED_VALUE"""),0.573611111111111)</f>
        <v>0.57361111111111096</v>
      </c>
      <c r="J88" t="str">
        <f ca="1">IFERROR(__xludf.DUMMYFUNCTION("""COMPUTED_VALUE"""),"B")</f>
        <v>B</v>
      </c>
      <c r="K88" t="str">
        <f ca="1">IFERROR(__xludf.DUMMYFUNCTION("""COMPUTED_VALUE"""),"")</f>
        <v/>
      </c>
      <c r="L88" t="str">
        <f ca="1">IFERROR(__xludf.DUMMYFUNCTION("""COMPUTED_VALUE"""),"")</f>
        <v/>
      </c>
      <c r="M88" t="str">
        <f ca="1">IFERROR(__xludf.DUMMYFUNCTION("""COMPUTED_VALUE"""),"")</f>
        <v/>
      </c>
      <c r="N88" t="str">
        <f ca="1">IFERROR(__xludf.DUMMYFUNCTION("""COMPUTED_VALUE"""),"")</f>
        <v/>
      </c>
      <c r="O88" s="158">
        <f ca="1">IFERROR(__xludf.DUMMYFUNCTION("""COMPUTED_VALUE"""),0.491666666666666)</f>
        <v>0.49166666666666597</v>
      </c>
      <c r="P88" t="str">
        <f ca="1">IFERROR(__xludf.DUMMYFUNCTION("""COMPUTED_VALUE"""),"B")</f>
        <v>B</v>
      </c>
      <c r="Q88" s="158">
        <f ca="1">IFERROR(__xludf.DUMMYFUNCTION("""COMPUTED_VALUE"""),0.514583333333333)</f>
        <v>0.51458333333333295</v>
      </c>
      <c r="R88" t="str">
        <f ca="1">IFERROR(__xludf.DUMMYFUNCTION("""COMPUTED_VALUE"""),"B")</f>
        <v>B</v>
      </c>
      <c r="S88" s="158">
        <f ca="1">IFERROR(__xludf.DUMMYFUNCTION("""COMPUTED_VALUE"""),0.552777777777777)</f>
        <v>0.55277777777777704</v>
      </c>
      <c r="T88" t="str">
        <f ca="1">IFERROR(__xludf.DUMMYFUNCTION("""COMPUTED_VALUE"""),"B")</f>
        <v>B</v>
      </c>
      <c r="U88" t="str">
        <f ca="1">IFERROR(__xludf.DUMMYFUNCTION("""COMPUTED_VALUE"""),"")</f>
        <v/>
      </c>
      <c r="V88" t="str">
        <f ca="1">IFERROR(__xludf.DUMMYFUNCTION("""COMPUTED_VALUE"""),"")</f>
        <v/>
      </c>
      <c r="W88" t="str">
        <f ca="1">IFERROR(__xludf.DUMMYFUNCTION("""COMPUTED_VALUE"""),"")</f>
        <v/>
      </c>
      <c r="X88" t="str">
        <f ca="1">IFERROR(__xludf.DUMMYFUNCTION("""COMPUTED_VALUE"""),"")</f>
        <v/>
      </c>
      <c r="Y88" t="str">
        <f ca="1">IFERROR(__xludf.DUMMYFUNCTION("""COMPUTED_VALUE"""),"ZŠ")</f>
        <v>ZŠ</v>
      </c>
      <c r="Z88" t="b">
        <f ca="1">IFERROR(__xludf.DUMMYFUNCTION("""COMPUTED_VALUE"""),TRUE)</f>
        <v>1</v>
      </c>
      <c r="AA88" t="b">
        <f ca="1">IFERROR(__xludf.DUMMYFUNCTION("""COMPUTED_VALUE"""),FALSE)</f>
        <v>0</v>
      </c>
      <c r="AB88" t="b">
        <f ca="1">IFERROR(__xludf.DUMMYFUNCTION("""COMPUTED_VALUE"""),TRUE)</f>
        <v>1</v>
      </c>
      <c r="AC88" t="b">
        <f ca="1">IFERROR(__xludf.DUMMYFUNCTION("""COMPUTED_VALUE"""),TRUE)</f>
        <v>1</v>
      </c>
      <c r="AD88" t="b">
        <f ca="1">IFERROR(__xludf.DUMMYFUNCTION("""COMPUTED_VALUE"""),FALSE)</f>
        <v>0</v>
      </c>
      <c r="AE88" t="b">
        <f ca="1">IFERROR(__xludf.DUMMYFUNCTION("""COMPUTED_VALUE"""),FALSE)</f>
        <v>0</v>
      </c>
      <c r="AF88" t="b">
        <f ca="1">IFERROR(__xludf.DUMMYFUNCTION("""COMPUTED_VALUE"""),FALSE)</f>
        <v>0</v>
      </c>
      <c r="AG88" t="str">
        <f ca="1">IFERROR(__xludf.DUMMYFUNCTION("""COMPUTED_VALUE"""),"Čára (line follower), Dálkový medvěd (bear rescue), Sprint - LEGO (drag race - Lego)")</f>
        <v>Čára (line follower), Dálkový medvěd (bear rescue), Sprint - LEGO (drag race - Lego)</v>
      </c>
    </row>
    <row r="89" spans="1:33" ht="13.2">
      <c r="A89">
        <f ca="1">IFERROR(__xludf.DUMMYFUNCTION("""COMPUTED_VALUE"""),92)</f>
        <v>92</v>
      </c>
      <c r="B89" t="str">
        <f ca="1">IFERROR(__xludf.DUMMYFUNCTION("""COMPUTED_VALUE"""),"Žilina")</f>
        <v>Žilina</v>
      </c>
      <c r="C89" t="str">
        <f ca="1">IFERROR(__xludf.DUMMYFUNCTION("""COMPUTED_VALUE"""),"Klub robotiky The Benders Žilina")</f>
        <v>Klub robotiky The Benders Žilina</v>
      </c>
      <c r="D89" t="str">
        <f ca="1">IFERROR(__xludf.DUMMYFUNCTION("""COMPUTED_VALUE"""),"thrax")</f>
        <v>thrax</v>
      </c>
      <c r="E89" s="158">
        <f ca="1">IFERROR(__xludf.DUMMYFUNCTION("""COMPUTED_VALUE"""),0.428472222222222)</f>
        <v>0.42847222222222198</v>
      </c>
      <c r="F89" t="str">
        <f ca="1">IFERROR(__xludf.DUMMYFUNCTION("""COMPUTED_VALUE"""),"A")</f>
        <v>A</v>
      </c>
      <c r="G89" s="158">
        <f ca="1">IFERROR(__xludf.DUMMYFUNCTION("""COMPUTED_VALUE"""),0.498611111111111)</f>
        <v>0.49861111111111101</v>
      </c>
      <c r="H89" t="str">
        <f ca="1">IFERROR(__xludf.DUMMYFUNCTION("""COMPUTED_VALUE"""),"A")</f>
        <v>A</v>
      </c>
      <c r="I89" s="158">
        <f ca="1">IFERROR(__xludf.DUMMYFUNCTION("""COMPUTED_VALUE"""),0.573611111111111)</f>
        <v>0.57361111111111096</v>
      </c>
      <c r="J89" t="str">
        <f ca="1">IFERROR(__xludf.DUMMYFUNCTION("""COMPUTED_VALUE"""),"A")</f>
        <v>A</v>
      </c>
      <c r="K89" t="str">
        <f ca="1">IFERROR(__xludf.DUMMYFUNCTION("""COMPUTED_VALUE"""),"")</f>
        <v/>
      </c>
      <c r="L89" t="str">
        <f ca="1">IFERROR(__xludf.DUMMYFUNCTION("""COMPUTED_VALUE"""),"")</f>
        <v/>
      </c>
      <c r="M89" t="str">
        <f ca="1">IFERROR(__xludf.DUMMYFUNCTION("""COMPUTED_VALUE"""),"")</f>
        <v/>
      </c>
      <c r="N89" t="str">
        <f ca="1">IFERROR(__xludf.DUMMYFUNCTION("""COMPUTED_VALUE"""),"")</f>
        <v/>
      </c>
      <c r="O89" t="str">
        <f ca="1">IFERROR(__xludf.DUMMYFUNCTION("""COMPUTED_VALUE"""),"")</f>
        <v/>
      </c>
      <c r="P89" t="str">
        <f ca="1">IFERROR(__xludf.DUMMYFUNCTION("""COMPUTED_VALUE"""),"")</f>
        <v/>
      </c>
      <c r="Q89" t="str">
        <f ca="1">IFERROR(__xludf.DUMMYFUNCTION("""COMPUTED_VALUE"""),"")</f>
        <v/>
      </c>
      <c r="R89" t="str">
        <f ca="1">IFERROR(__xludf.DUMMYFUNCTION("""COMPUTED_VALUE"""),"")</f>
        <v/>
      </c>
      <c r="S89" t="str">
        <f ca="1">IFERROR(__xludf.DUMMYFUNCTION("""COMPUTED_VALUE"""),"")</f>
        <v/>
      </c>
      <c r="T89" t="str">
        <f ca="1">IFERROR(__xludf.DUMMYFUNCTION("""COMPUTED_VALUE"""),"")</f>
        <v/>
      </c>
      <c r="U89" t="str">
        <f ca="1">IFERROR(__xludf.DUMMYFUNCTION("""COMPUTED_VALUE"""),"")</f>
        <v/>
      </c>
      <c r="V89" t="str">
        <f ca="1">IFERROR(__xludf.DUMMYFUNCTION("""COMPUTED_VALUE"""),"")</f>
        <v/>
      </c>
      <c r="W89" t="str">
        <f ca="1">IFERROR(__xludf.DUMMYFUNCTION("""COMPUTED_VALUE"""),"")</f>
        <v/>
      </c>
      <c r="X89" t="str">
        <f ca="1">IFERROR(__xludf.DUMMYFUNCTION("""COMPUTED_VALUE"""),"")</f>
        <v/>
      </c>
      <c r="Y89" t="str">
        <f ca="1">IFERROR(__xludf.DUMMYFUNCTION("""COMPUTED_VALUE"""),"ZŠ")</f>
        <v>ZŠ</v>
      </c>
      <c r="Z89" t="b">
        <f ca="1">IFERROR(__xludf.DUMMYFUNCTION("""COMPUTED_VALUE"""),TRUE)</f>
        <v>1</v>
      </c>
      <c r="AA89" t="b">
        <f ca="1">IFERROR(__xludf.DUMMYFUNCTION("""COMPUTED_VALUE"""),FALSE)</f>
        <v>0</v>
      </c>
      <c r="AB89" t="b">
        <f ca="1">IFERROR(__xludf.DUMMYFUNCTION("""COMPUTED_VALUE"""),FALSE)</f>
        <v>0</v>
      </c>
      <c r="AC89" t="b">
        <f ca="1">IFERROR(__xludf.DUMMYFUNCTION("""COMPUTED_VALUE"""),FALSE)</f>
        <v>0</v>
      </c>
      <c r="AD89" t="b">
        <f ca="1">IFERROR(__xludf.DUMMYFUNCTION("""COMPUTED_VALUE"""),FALSE)</f>
        <v>0</v>
      </c>
      <c r="AE89" t="b">
        <f ca="1">IFERROR(__xludf.DUMMYFUNCTION("""COMPUTED_VALUE"""),FALSE)</f>
        <v>0</v>
      </c>
      <c r="AF89" t="b">
        <f ca="1">IFERROR(__xludf.DUMMYFUNCTION("""COMPUTED_VALUE"""),FALSE)</f>
        <v>0</v>
      </c>
      <c r="AG89" t="str">
        <f ca="1">IFERROR(__xludf.DUMMYFUNCTION("""COMPUTED_VALUE"""),"Čára (line follower)")</f>
        <v>Čára (line follower)</v>
      </c>
    </row>
    <row r="90" spans="1:33" ht="13.2">
      <c r="A90">
        <f ca="1">IFERROR(__xludf.DUMMYFUNCTION("""COMPUTED_VALUE"""),93)</f>
        <v>93</v>
      </c>
      <c r="B90" t="str">
        <f ca="1">IFERROR(__xludf.DUMMYFUNCTION("""COMPUTED_VALUE"""),"Žilina")</f>
        <v>Žilina</v>
      </c>
      <c r="C90" t="str">
        <f ca="1">IFERROR(__xludf.DUMMYFUNCTION("""COMPUTED_VALUE"""),"The Benders - Amavet klub 958 ")</f>
        <v xml:space="preserve">The Benders - Amavet klub 958 </v>
      </c>
      <c r="D90" t="str">
        <f ca="1">IFERROR(__xludf.DUMMYFUNCTION("""COMPUTED_VALUE"""),"Lone stormtrooper")</f>
        <v>Lone stormtrooper</v>
      </c>
      <c r="E90" s="158">
        <f ca="1">IFERROR(__xludf.DUMMYFUNCTION("""COMPUTED_VALUE"""),0.429861111111111)</f>
        <v>0.42986111111111103</v>
      </c>
      <c r="F90" t="str">
        <f ca="1">IFERROR(__xludf.DUMMYFUNCTION("""COMPUTED_VALUE"""),"B")</f>
        <v>B</v>
      </c>
      <c r="G90" s="158">
        <f ca="1">IFERROR(__xludf.DUMMYFUNCTION("""COMPUTED_VALUE"""),0.5)</f>
        <v>0.5</v>
      </c>
      <c r="H90" t="str">
        <f ca="1">IFERROR(__xludf.DUMMYFUNCTION("""COMPUTED_VALUE"""),"B")</f>
        <v>B</v>
      </c>
      <c r="I90" s="158">
        <f ca="1">IFERROR(__xludf.DUMMYFUNCTION("""COMPUTED_VALUE"""),0.575)</f>
        <v>0.57499999999999996</v>
      </c>
      <c r="J90" t="str">
        <f ca="1">IFERROR(__xludf.DUMMYFUNCTION("""COMPUTED_VALUE"""),"B")</f>
        <v>B</v>
      </c>
      <c r="K90" t="str">
        <f ca="1">IFERROR(__xludf.DUMMYFUNCTION("""COMPUTED_VALUE"""),"")</f>
        <v/>
      </c>
      <c r="L90" t="str">
        <f ca="1">IFERROR(__xludf.DUMMYFUNCTION("""COMPUTED_VALUE"""),"")</f>
        <v/>
      </c>
      <c r="M90" t="str">
        <f ca="1">IFERROR(__xludf.DUMMYFUNCTION("""COMPUTED_VALUE"""),"")</f>
        <v/>
      </c>
      <c r="N90" t="str">
        <f ca="1">IFERROR(__xludf.DUMMYFUNCTION("""COMPUTED_VALUE"""),"")</f>
        <v/>
      </c>
      <c r="O90" t="str">
        <f ca="1">IFERROR(__xludf.DUMMYFUNCTION("""COMPUTED_VALUE"""),"")</f>
        <v/>
      </c>
      <c r="P90" t="str">
        <f ca="1">IFERROR(__xludf.DUMMYFUNCTION("""COMPUTED_VALUE"""),"")</f>
        <v/>
      </c>
      <c r="Q90" t="str">
        <f ca="1">IFERROR(__xludf.DUMMYFUNCTION("""COMPUTED_VALUE"""),"")</f>
        <v/>
      </c>
      <c r="R90" t="str">
        <f ca="1">IFERROR(__xludf.DUMMYFUNCTION("""COMPUTED_VALUE"""),"")</f>
        <v/>
      </c>
      <c r="S90" t="str">
        <f ca="1">IFERROR(__xludf.DUMMYFUNCTION("""COMPUTED_VALUE"""),"")</f>
        <v/>
      </c>
      <c r="T90" t="str">
        <f ca="1">IFERROR(__xludf.DUMMYFUNCTION("""COMPUTED_VALUE"""),"")</f>
        <v/>
      </c>
      <c r="U90" t="str">
        <f ca="1">IFERROR(__xludf.DUMMYFUNCTION("""COMPUTED_VALUE"""),"")</f>
        <v/>
      </c>
      <c r="V90" t="str">
        <f ca="1">IFERROR(__xludf.DUMMYFUNCTION("""COMPUTED_VALUE"""),"")</f>
        <v/>
      </c>
      <c r="W90" t="str">
        <f ca="1">IFERROR(__xludf.DUMMYFUNCTION("""COMPUTED_VALUE"""),"")</f>
        <v/>
      </c>
      <c r="X90" t="str">
        <f ca="1">IFERROR(__xludf.DUMMYFUNCTION("""COMPUTED_VALUE"""),"")</f>
        <v/>
      </c>
      <c r="Y90" t="str">
        <f ca="1">IFERROR(__xludf.DUMMYFUNCTION("""COMPUTED_VALUE"""),"ZŠ")</f>
        <v>ZŠ</v>
      </c>
      <c r="Z90" t="b">
        <f ca="1">IFERROR(__xludf.DUMMYFUNCTION("""COMPUTED_VALUE"""),TRUE)</f>
        <v>1</v>
      </c>
      <c r="AA90" t="b">
        <f ca="1">IFERROR(__xludf.DUMMYFUNCTION("""COMPUTED_VALUE"""),FALSE)</f>
        <v>0</v>
      </c>
      <c r="AB90" t="b">
        <f ca="1">IFERROR(__xludf.DUMMYFUNCTION("""COMPUTED_VALUE"""),FALSE)</f>
        <v>0</v>
      </c>
      <c r="AC90" t="b">
        <f ca="1">IFERROR(__xludf.DUMMYFUNCTION("""COMPUTED_VALUE"""),FALSE)</f>
        <v>0</v>
      </c>
      <c r="AD90" t="b">
        <f ca="1">IFERROR(__xludf.DUMMYFUNCTION("""COMPUTED_VALUE"""),FALSE)</f>
        <v>0</v>
      </c>
      <c r="AE90" t="b">
        <f ca="1">IFERROR(__xludf.DUMMYFUNCTION("""COMPUTED_VALUE"""),FALSE)</f>
        <v>0</v>
      </c>
      <c r="AF90" t="b">
        <f ca="1">IFERROR(__xludf.DUMMYFUNCTION("""COMPUTED_VALUE"""),FALSE)</f>
        <v>0</v>
      </c>
      <c r="AG90" t="str">
        <f ca="1">IFERROR(__xludf.DUMMYFUNCTION("""COMPUTED_VALUE"""),"Čára (line follower)")</f>
        <v>Čára (line follower)</v>
      </c>
    </row>
    <row r="91" spans="1:33" ht="13.2">
      <c r="A91">
        <f ca="1">IFERROR(__xludf.DUMMYFUNCTION("""COMPUTED_VALUE"""),94)</f>
        <v>94</v>
      </c>
      <c r="B91" t="str">
        <f ca="1">IFERROR(__xludf.DUMMYFUNCTION("""COMPUTED_VALUE"""),"Žilina")</f>
        <v>Žilina</v>
      </c>
      <c r="C91" t="str">
        <f ca="1">IFERROR(__xludf.DUMMYFUNCTION("""COMPUTED_VALUE"""),"The Benders - Amavet klub robotiky 958")</f>
        <v>The Benders - Amavet klub robotiky 958</v>
      </c>
      <c r="D91" t="str">
        <f ca="1">IFERROR(__xludf.DUMMYFUNCTION("""COMPUTED_VALUE"""),"F2")</f>
        <v>F2</v>
      </c>
      <c r="E91" t="str">
        <f ca="1">IFERROR(__xludf.DUMMYFUNCTION("""COMPUTED_VALUE"""),"---")</f>
        <v>---</v>
      </c>
      <c r="F91" t="str">
        <f ca="1">IFERROR(__xludf.DUMMYFUNCTION("""COMPUTED_VALUE"""),"")</f>
        <v/>
      </c>
      <c r="G91" t="str">
        <f ca="1">IFERROR(__xludf.DUMMYFUNCTION("""COMPUTED_VALUE"""),"---")</f>
        <v>---</v>
      </c>
      <c r="H91" t="str">
        <f ca="1">IFERROR(__xludf.DUMMYFUNCTION("""COMPUTED_VALUE"""),"")</f>
        <v/>
      </c>
      <c r="I91" t="str">
        <f ca="1">IFERROR(__xludf.DUMMYFUNCTION("""COMPUTED_VALUE"""),"---")</f>
        <v>---</v>
      </c>
      <c r="J91" t="str">
        <f ca="1">IFERROR(__xludf.DUMMYFUNCTION("""COMPUTED_VALUE"""),"")</f>
        <v/>
      </c>
      <c r="K91" t="str">
        <f ca="1">IFERROR(__xludf.DUMMYFUNCTION("""COMPUTED_VALUE"""),"")</f>
        <v/>
      </c>
      <c r="L91" t="str">
        <f ca="1">IFERROR(__xludf.DUMMYFUNCTION("""COMPUTED_VALUE"""),"")</f>
        <v/>
      </c>
      <c r="M91" t="str">
        <f ca="1">IFERROR(__xludf.DUMMYFUNCTION("""COMPUTED_VALUE"""),"")</f>
        <v/>
      </c>
      <c r="N91" t="str">
        <f ca="1">IFERROR(__xludf.DUMMYFUNCTION("""COMPUTED_VALUE"""),"")</f>
        <v/>
      </c>
      <c r="O91" t="str">
        <f ca="1">IFERROR(__xludf.DUMMYFUNCTION("""COMPUTED_VALUE"""),"")</f>
        <v/>
      </c>
      <c r="P91" t="str">
        <f ca="1">IFERROR(__xludf.DUMMYFUNCTION("""COMPUTED_VALUE"""),"")</f>
        <v/>
      </c>
      <c r="Q91" s="158">
        <f ca="1">IFERROR(__xludf.DUMMYFUNCTION("""COMPUTED_VALUE"""),0.515277777777777)</f>
        <v>0.51527777777777695</v>
      </c>
      <c r="R91" t="str">
        <f ca="1">IFERROR(__xludf.DUMMYFUNCTION("""COMPUTED_VALUE"""),"A")</f>
        <v>A</v>
      </c>
      <c r="S91" s="158">
        <f ca="1">IFERROR(__xludf.DUMMYFUNCTION("""COMPUTED_VALUE"""),0.553472222222222)</f>
        <v>0.55347222222222203</v>
      </c>
      <c r="T91" t="str">
        <f ca="1">IFERROR(__xludf.DUMMYFUNCTION("""COMPUTED_VALUE"""),"A")</f>
        <v>A</v>
      </c>
      <c r="U91" t="str">
        <f ca="1">IFERROR(__xludf.DUMMYFUNCTION("""COMPUTED_VALUE"""),"")</f>
        <v/>
      </c>
      <c r="V91" t="str">
        <f ca="1">IFERROR(__xludf.DUMMYFUNCTION("""COMPUTED_VALUE"""),"")</f>
        <v/>
      </c>
      <c r="W91" t="str">
        <f ca="1">IFERROR(__xludf.DUMMYFUNCTION("""COMPUTED_VALUE"""),"")</f>
        <v/>
      </c>
      <c r="X91" t="str">
        <f ca="1">IFERROR(__xludf.DUMMYFUNCTION("""COMPUTED_VALUE"""),"")</f>
        <v/>
      </c>
      <c r="Y91" t="str">
        <f ca="1">IFERROR(__xludf.DUMMYFUNCTION("""COMPUTED_VALUE"""),"ZŠ")</f>
        <v>ZŠ</v>
      </c>
      <c r="Z91" s="158" t="b">
        <f ca="1">IFERROR(__xludf.DUMMYFUNCTION("""COMPUTED_VALUE"""),FALSE)</f>
        <v>0</v>
      </c>
      <c r="AA91" t="b">
        <f ca="1">IFERROR(__xludf.DUMMYFUNCTION("""COMPUTED_VALUE"""),FALSE)</f>
        <v>0</v>
      </c>
      <c r="AB91" t="b">
        <f ca="1">IFERROR(__xludf.DUMMYFUNCTION("""COMPUTED_VALUE"""),FALSE)</f>
        <v>0</v>
      </c>
      <c r="AC91" t="b">
        <f ca="1">IFERROR(__xludf.DUMMYFUNCTION("""COMPUTED_VALUE"""),TRUE)</f>
        <v>1</v>
      </c>
      <c r="AD91" t="b">
        <f ca="1">IFERROR(__xludf.DUMMYFUNCTION("""COMPUTED_VALUE"""),FALSE)</f>
        <v>0</v>
      </c>
      <c r="AE91" t="b">
        <f ca="1">IFERROR(__xludf.DUMMYFUNCTION("""COMPUTED_VALUE"""),FALSE)</f>
        <v>0</v>
      </c>
      <c r="AF91" t="b">
        <f ca="1">IFERROR(__xludf.DUMMYFUNCTION("""COMPUTED_VALUE"""),FALSE)</f>
        <v>0</v>
      </c>
      <c r="AG91" t="str">
        <f ca="1">IFERROR(__xludf.DUMMYFUNCTION("""COMPUTED_VALUE"""),"Sprint - LEGO (drag race - Lego)")</f>
        <v>Sprint - LEGO (drag race - Lego)</v>
      </c>
    </row>
    <row r="92" spans="1:33" ht="13.2">
      <c r="A92">
        <f ca="1">IFERROR(__xludf.DUMMYFUNCTION("""COMPUTED_VALUE"""),95)</f>
        <v>95</v>
      </c>
      <c r="B92" t="str">
        <f ca="1">IFERROR(__xludf.DUMMYFUNCTION("""COMPUTED_VALUE"""),"Žilina")</f>
        <v>Žilina</v>
      </c>
      <c r="C92" t="str">
        <f ca="1">IFERROR(__xludf.DUMMYFUNCTION("""COMPUTED_VALUE"""),"The Benders - Amavet klub robotiky 958")</f>
        <v>The Benders - Amavet klub robotiky 958</v>
      </c>
      <c r="D92" t="str">
        <f ca="1">IFERROR(__xludf.DUMMYFUNCTION("""COMPUTED_VALUE"""),"Korytnačka Abby")</f>
        <v>Korytnačka Abby</v>
      </c>
      <c r="E92" t="str">
        <f ca="1">IFERROR(__xludf.DUMMYFUNCTION("""COMPUTED_VALUE"""),"---")</f>
        <v>---</v>
      </c>
      <c r="F92" t="str">
        <f ca="1">IFERROR(__xludf.DUMMYFUNCTION("""COMPUTED_VALUE"""),"")</f>
        <v/>
      </c>
      <c r="G92" t="str">
        <f ca="1">IFERROR(__xludf.DUMMYFUNCTION("""COMPUTED_VALUE"""),"---")</f>
        <v>---</v>
      </c>
      <c r="H92" t="str">
        <f ca="1">IFERROR(__xludf.DUMMYFUNCTION("""COMPUTED_VALUE"""),"")</f>
        <v/>
      </c>
      <c r="I92" t="str">
        <f ca="1">IFERROR(__xludf.DUMMYFUNCTION("""COMPUTED_VALUE"""),"---")</f>
        <v>---</v>
      </c>
      <c r="J92" t="str">
        <f ca="1">IFERROR(__xludf.DUMMYFUNCTION("""COMPUTED_VALUE"""),"")</f>
        <v/>
      </c>
      <c r="K92" s="158">
        <f ca="1">IFERROR(__xludf.DUMMYFUNCTION("""COMPUTED_VALUE"""),0.455555555555555)</f>
        <v>0.45555555555555499</v>
      </c>
      <c r="L92" t="str">
        <f ca="1">IFERROR(__xludf.DUMMYFUNCTION("""COMPUTED_VALUE"""),"A")</f>
        <v>A</v>
      </c>
      <c r="M92" s="158">
        <f ca="1">IFERROR(__xludf.DUMMYFUNCTION("""COMPUTED_VALUE"""),0.545833333333333)</f>
        <v>0.54583333333333295</v>
      </c>
      <c r="N92" t="str">
        <f ca="1">IFERROR(__xludf.DUMMYFUNCTION("""COMPUTED_VALUE"""),"A")</f>
        <v>A</v>
      </c>
      <c r="O92" t="str">
        <f ca="1">IFERROR(__xludf.DUMMYFUNCTION("""COMPUTED_VALUE"""),"")</f>
        <v/>
      </c>
      <c r="P92" t="str">
        <f ca="1">IFERROR(__xludf.DUMMYFUNCTION("""COMPUTED_VALUE"""),"")</f>
        <v/>
      </c>
      <c r="Q92" t="str">
        <f ca="1">IFERROR(__xludf.DUMMYFUNCTION("""COMPUTED_VALUE"""),"")</f>
        <v/>
      </c>
      <c r="R92" t="str">
        <f ca="1">IFERROR(__xludf.DUMMYFUNCTION("""COMPUTED_VALUE"""),"")</f>
        <v/>
      </c>
      <c r="S92" t="str">
        <f ca="1">IFERROR(__xludf.DUMMYFUNCTION("""COMPUTED_VALUE"""),"")</f>
        <v/>
      </c>
      <c r="T92" t="str">
        <f ca="1">IFERROR(__xludf.DUMMYFUNCTION("""COMPUTED_VALUE"""),"")</f>
        <v/>
      </c>
      <c r="U92" t="str">
        <f ca="1">IFERROR(__xludf.DUMMYFUNCTION("""COMPUTED_VALUE"""),"")</f>
        <v/>
      </c>
      <c r="V92" t="str">
        <f ca="1">IFERROR(__xludf.DUMMYFUNCTION("""COMPUTED_VALUE"""),"")</f>
        <v/>
      </c>
      <c r="W92" t="str">
        <f ca="1">IFERROR(__xludf.DUMMYFUNCTION("""COMPUTED_VALUE"""),"")</f>
        <v/>
      </c>
      <c r="X92" t="str">
        <f ca="1">IFERROR(__xludf.DUMMYFUNCTION("""COMPUTED_VALUE"""),"")</f>
        <v/>
      </c>
      <c r="Y92" t="str">
        <f ca="1">IFERROR(__xludf.DUMMYFUNCTION("""COMPUTED_VALUE"""),"ZŠ")</f>
        <v>ZŠ</v>
      </c>
      <c r="Z92" s="158" t="b">
        <f ca="1">IFERROR(__xludf.DUMMYFUNCTION("""COMPUTED_VALUE"""),FALSE)</f>
        <v>0</v>
      </c>
      <c r="AA92" t="b">
        <f ca="1">IFERROR(__xludf.DUMMYFUNCTION("""COMPUTED_VALUE"""),TRUE)</f>
        <v>1</v>
      </c>
      <c r="AB92" t="b">
        <f ca="1">IFERROR(__xludf.DUMMYFUNCTION("""COMPUTED_VALUE"""),FALSE)</f>
        <v>0</v>
      </c>
      <c r="AC92" t="b">
        <f ca="1">IFERROR(__xludf.DUMMYFUNCTION("""COMPUTED_VALUE"""),FALSE)</f>
        <v>0</v>
      </c>
      <c r="AD92" t="b">
        <f ca="1">IFERROR(__xludf.DUMMYFUNCTION("""COMPUTED_VALUE"""),FALSE)</f>
        <v>0</v>
      </c>
      <c r="AE92" t="b">
        <f ca="1">IFERROR(__xludf.DUMMYFUNCTION("""COMPUTED_VALUE"""),FALSE)</f>
        <v>0</v>
      </c>
      <c r="AF92" t="b">
        <f ca="1">IFERROR(__xludf.DUMMYFUNCTION("""COMPUTED_VALUE"""),FALSE)</f>
        <v>0</v>
      </c>
      <c r="AG92" t="str">
        <f ca="1">IFERROR(__xludf.DUMMYFUNCTION("""COMPUTED_VALUE"""),"Autonomní medvěd (bear rescue advance)")</f>
        <v>Autonomní medvěd (bear rescue advance)</v>
      </c>
    </row>
    <row r="93" spans="1:33" ht="13.2">
      <c r="A93">
        <f ca="1">IFERROR(__xludf.DUMMYFUNCTION("""COMPUTED_VALUE"""),96)</f>
        <v>96</v>
      </c>
      <c r="B93" t="str">
        <f ca="1">IFERROR(__xludf.DUMMYFUNCTION("""COMPUTED_VALUE"""),"Žilina")</f>
        <v>Žilina</v>
      </c>
      <c r="C93" t="str">
        <f ca="1">IFERROR(__xludf.DUMMYFUNCTION("""COMPUTED_VALUE"""),"The Benders - Amavet klub robotiky 958")</f>
        <v>The Benders - Amavet klub robotiky 958</v>
      </c>
      <c r="D93" t="str">
        <f ca="1">IFERROR(__xludf.DUMMYFUNCTION("""COMPUTED_VALUE"""),"Darth Bot")</f>
        <v>Darth Bot</v>
      </c>
      <c r="E93" s="158">
        <f ca="1">IFERROR(__xludf.DUMMYFUNCTION("""COMPUTED_VALUE"""),0.429861111111111)</f>
        <v>0.42986111111111103</v>
      </c>
      <c r="F93" t="str">
        <f ca="1">IFERROR(__xludf.DUMMYFUNCTION("""COMPUTED_VALUE"""),"A")</f>
        <v>A</v>
      </c>
      <c r="G93" s="158">
        <f ca="1">IFERROR(__xludf.DUMMYFUNCTION("""COMPUTED_VALUE"""),0.5)</f>
        <v>0.5</v>
      </c>
      <c r="H93" t="str">
        <f ca="1">IFERROR(__xludf.DUMMYFUNCTION("""COMPUTED_VALUE"""),"A")</f>
        <v>A</v>
      </c>
      <c r="I93" s="158">
        <f ca="1">IFERROR(__xludf.DUMMYFUNCTION("""COMPUTED_VALUE"""),0.575)</f>
        <v>0.57499999999999996</v>
      </c>
      <c r="J93" t="str">
        <f ca="1">IFERROR(__xludf.DUMMYFUNCTION("""COMPUTED_VALUE"""),"A")</f>
        <v>A</v>
      </c>
      <c r="K93" t="str">
        <f ca="1">IFERROR(__xludf.DUMMYFUNCTION("""COMPUTED_VALUE"""),"")</f>
        <v/>
      </c>
      <c r="L93" t="str">
        <f ca="1">IFERROR(__xludf.DUMMYFUNCTION("""COMPUTED_VALUE"""),"")</f>
        <v/>
      </c>
      <c r="M93" t="str">
        <f ca="1">IFERROR(__xludf.DUMMYFUNCTION("""COMPUTED_VALUE"""),"")</f>
        <v/>
      </c>
      <c r="N93" t="str">
        <f ca="1">IFERROR(__xludf.DUMMYFUNCTION("""COMPUTED_VALUE"""),"")</f>
        <v/>
      </c>
      <c r="O93" t="str">
        <f ca="1">IFERROR(__xludf.DUMMYFUNCTION("""COMPUTED_VALUE"""),"")</f>
        <v/>
      </c>
      <c r="P93" t="str">
        <f ca="1">IFERROR(__xludf.DUMMYFUNCTION("""COMPUTED_VALUE"""),"")</f>
        <v/>
      </c>
      <c r="Q93" t="str">
        <f ca="1">IFERROR(__xludf.DUMMYFUNCTION("""COMPUTED_VALUE"""),"")</f>
        <v/>
      </c>
      <c r="R93" t="str">
        <f ca="1">IFERROR(__xludf.DUMMYFUNCTION("""COMPUTED_VALUE"""),"")</f>
        <v/>
      </c>
      <c r="S93" t="str">
        <f ca="1">IFERROR(__xludf.DUMMYFUNCTION("""COMPUTED_VALUE"""),"")</f>
        <v/>
      </c>
      <c r="T93" t="str">
        <f ca="1">IFERROR(__xludf.DUMMYFUNCTION("""COMPUTED_VALUE"""),"")</f>
        <v/>
      </c>
      <c r="U93" t="str">
        <f ca="1">IFERROR(__xludf.DUMMYFUNCTION("""COMPUTED_VALUE"""),"")</f>
        <v/>
      </c>
      <c r="V93" t="str">
        <f ca="1">IFERROR(__xludf.DUMMYFUNCTION("""COMPUTED_VALUE"""),"")</f>
        <v/>
      </c>
      <c r="W93" t="str">
        <f ca="1">IFERROR(__xludf.DUMMYFUNCTION("""COMPUTED_VALUE"""),"")</f>
        <v/>
      </c>
      <c r="X93" t="str">
        <f ca="1">IFERROR(__xludf.DUMMYFUNCTION("""COMPUTED_VALUE"""),"")</f>
        <v/>
      </c>
      <c r="Y93" t="str">
        <f ca="1">IFERROR(__xludf.DUMMYFUNCTION("""COMPUTED_VALUE"""),"SŠ")</f>
        <v>SŠ</v>
      </c>
      <c r="Z93" t="b">
        <f ca="1">IFERROR(__xludf.DUMMYFUNCTION("""COMPUTED_VALUE"""),TRUE)</f>
        <v>1</v>
      </c>
      <c r="AA93" t="b">
        <f ca="1">IFERROR(__xludf.DUMMYFUNCTION("""COMPUTED_VALUE"""),FALSE)</f>
        <v>0</v>
      </c>
      <c r="AB93" t="b">
        <f ca="1">IFERROR(__xludf.DUMMYFUNCTION("""COMPUTED_VALUE"""),FALSE)</f>
        <v>0</v>
      </c>
      <c r="AC93" t="b">
        <f ca="1">IFERROR(__xludf.DUMMYFUNCTION("""COMPUTED_VALUE"""),FALSE)</f>
        <v>0</v>
      </c>
      <c r="AD93" t="b">
        <f ca="1">IFERROR(__xludf.DUMMYFUNCTION("""COMPUTED_VALUE"""),FALSE)</f>
        <v>0</v>
      </c>
      <c r="AE93" t="b">
        <f ca="1">IFERROR(__xludf.DUMMYFUNCTION("""COMPUTED_VALUE"""),FALSE)</f>
        <v>0</v>
      </c>
      <c r="AF93" t="b">
        <f ca="1">IFERROR(__xludf.DUMMYFUNCTION("""COMPUTED_VALUE"""),FALSE)</f>
        <v>0</v>
      </c>
      <c r="AG93" t="str">
        <f ca="1">IFERROR(__xludf.DUMMYFUNCTION("""COMPUTED_VALUE"""),"Čára (line follower)")</f>
        <v>Čára (line follower)</v>
      </c>
    </row>
    <row r="94" spans="1:33" ht="13.2">
      <c r="A94">
        <f ca="1">IFERROR(__xludf.DUMMYFUNCTION("""COMPUTED_VALUE"""),97)</f>
        <v>97</v>
      </c>
      <c r="B94" t="str">
        <f ca="1">IFERROR(__xludf.DUMMYFUNCTION("""COMPUTED_VALUE"""),"Praha")</f>
        <v>Praha</v>
      </c>
      <c r="C94" t="str">
        <f ca="1">IFERROR(__xludf.DUMMYFUNCTION("""COMPUTED_VALUE"""),"Gymnázium PORG Praha")</f>
        <v>Gymnázium PORG Praha</v>
      </c>
      <c r="D94" t="str">
        <f ca="1">IFERROR(__xludf.DUMMYFUNCTION("""COMPUTED_VALUE"""),"PORG 1")</f>
        <v>PORG 1</v>
      </c>
      <c r="E94" t="str">
        <f ca="1">IFERROR(__xludf.DUMMYFUNCTION("""COMPUTED_VALUE"""),"---")</f>
        <v>---</v>
      </c>
      <c r="F94" t="str">
        <f ca="1">IFERROR(__xludf.DUMMYFUNCTION("""COMPUTED_VALUE"""),"")</f>
        <v/>
      </c>
      <c r="G94" t="str">
        <f ca="1">IFERROR(__xludf.DUMMYFUNCTION("""COMPUTED_VALUE"""),"---")</f>
        <v>---</v>
      </c>
      <c r="H94" t="str">
        <f ca="1">IFERROR(__xludf.DUMMYFUNCTION("""COMPUTED_VALUE"""),"")</f>
        <v/>
      </c>
      <c r="I94" t="str">
        <f ca="1">IFERROR(__xludf.DUMMYFUNCTION("""COMPUTED_VALUE"""),"---")</f>
        <v>---</v>
      </c>
      <c r="J94" t="str">
        <f ca="1">IFERROR(__xludf.DUMMYFUNCTION("""COMPUTED_VALUE"""),"")</f>
        <v/>
      </c>
      <c r="K94" t="str">
        <f ca="1">IFERROR(__xludf.DUMMYFUNCTION("""COMPUTED_VALUE"""),"")</f>
        <v/>
      </c>
      <c r="L94" t="str">
        <f ca="1">IFERROR(__xludf.DUMMYFUNCTION("""COMPUTED_VALUE"""),"")</f>
        <v/>
      </c>
      <c r="M94" t="str">
        <f ca="1">IFERROR(__xludf.DUMMYFUNCTION("""COMPUTED_VALUE"""),"")</f>
        <v/>
      </c>
      <c r="N94" t="str">
        <f ca="1">IFERROR(__xludf.DUMMYFUNCTION("""COMPUTED_VALUE"""),"")</f>
        <v/>
      </c>
      <c r="O94" t="str">
        <f ca="1">IFERROR(__xludf.DUMMYFUNCTION("""COMPUTED_VALUE"""),"")</f>
        <v/>
      </c>
      <c r="P94" t="str">
        <f ca="1">IFERROR(__xludf.DUMMYFUNCTION("""COMPUTED_VALUE"""),"")</f>
        <v/>
      </c>
      <c r="Q94" t="str">
        <f ca="1">IFERROR(__xludf.DUMMYFUNCTION("""COMPUTED_VALUE"""),"")</f>
        <v/>
      </c>
      <c r="R94" t="str">
        <f ca="1">IFERROR(__xludf.DUMMYFUNCTION("""COMPUTED_VALUE"""),"")</f>
        <v/>
      </c>
      <c r="S94" t="str">
        <f ca="1">IFERROR(__xludf.DUMMYFUNCTION("""COMPUTED_VALUE"""),"")</f>
        <v/>
      </c>
      <c r="T94" t="str">
        <f ca="1">IFERROR(__xludf.DUMMYFUNCTION("""COMPUTED_VALUE"""),"")</f>
        <v/>
      </c>
      <c r="U94" t="str">
        <f ca="1">IFERROR(__xludf.DUMMYFUNCTION("""COMPUTED_VALUE"""),"")</f>
        <v/>
      </c>
      <c r="V94" t="str">
        <f ca="1">IFERROR(__xludf.DUMMYFUNCTION("""COMPUTED_VALUE"""),"")</f>
        <v/>
      </c>
      <c r="W94" t="str">
        <f ca="1">IFERROR(__xludf.DUMMYFUNCTION("""COMPUTED_VALUE"""),"")</f>
        <v/>
      </c>
      <c r="X94" t="str">
        <f ca="1">IFERROR(__xludf.DUMMYFUNCTION("""COMPUTED_VALUE"""),"")</f>
        <v/>
      </c>
      <c r="Y94" t="str">
        <f ca="1">IFERROR(__xludf.DUMMYFUNCTION("""COMPUTED_VALUE"""),"ZŠ")</f>
        <v>ZŠ</v>
      </c>
      <c r="Z94" s="158" t="b">
        <f ca="1">IFERROR(__xludf.DUMMYFUNCTION("""COMPUTED_VALUE"""),FALSE)</f>
        <v>0</v>
      </c>
      <c r="AA94" t="b">
        <f ca="1">IFERROR(__xludf.DUMMYFUNCTION("""COMPUTED_VALUE"""),FALSE)</f>
        <v>0</v>
      </c>
      <c r="AB94" t="b">
        <f ca="1">IFERROR(__xludf.DUMMYFUNCTION("""COMPUTED_VALUE"""),FALSE)</f>
        <v>0</v>
      </c>
      <c r="AC94" t="b">
        <f ca="1">IFERROR(__xludf.DUMMYFUNCTION("""COMPUTED_VALUE"""),FALSE)</f>
        <v>0</v>
      </c>
      <c r="AD94" t="b">
        <f ca="1">IFERROR(__xludf.DUMMYFUNCTION("""COMPUTED_VALUE"""),FALSE)</f>
        <v>0</v>
      </c>
      <c r="AE94" t="b">
        <f ca="1">IFERROR(__xludf.DUMMYFUNCTION("""COMPUTED_VALUE"""),TRUE)</f>
        <v>1</v>
      </c>
      <c r="AF94" t="b">
        <f ca="1">IFERROR(__xludf.DUMMYFUNCTION("""COMPUTED_VALUE"""),FALSE)</f>
        <v>0</v>
      </c>
      <c r="AG94" t="str">
        <f ca="1">IFERROR(__xludf.DUMMYFUNCTION("""COMPUTED_VALUE"""),"Freestyle")</f>
        <v>Freestyle</v>
      </c>
    </row>
    <row r="95" spans="1:33" ht="13.2">
      <c r="A95">
        <f ca="1">IFERROR(__xludf.DUMMYFUNCTION("""COMPUTED_VALUE"""),98)</f>
        <v>98</v>
      </c>
      <c r="B95" t="str">
        <f ca="1">IFERROR(__xludf.DUMMYFUNCTION("""COMPUTED_VALUE"""),"Praha")</f>
        <v>Praha</v>
      </c>
      <c r="C95" t="str">
        <f ca="1">IFERROR(__xludf.DUMMYFUNCTION("""COMPUTED_VALUE"""),"Gymnázium PORG Praha")</f>
        <v>Gymnázium PORG Praha</v>
      </c>
      <c r="D95" t="str">
        <f ca="1">IFERROR(__xludf.DUMMYFUNCTION("""COMPUTED_VALUE"""),"PORG 2")</f>
        <v>PORG 2</v>
      </c>
      <c r="E95" s="158">
        <f ca="1">IFERROR(__xludf.DUMMYFUNCTION("""COMPUTED_VALUE"""),0.43125)</f>
        <v>0.43125000000000002</v>
      </c>
      <c r="F95" t="str">
        <f ca="1">IFERROR(__xludf.DUMMYFUNCTION("""COMPUTED_VALUE"""),"B")</f>
        <v>B</v>
      </c>
      <c r="G95" s="158">
        <f ca="1">IFERROR(__xludf.DUMMYFUNCTION("""COMPUTED_VALUE"""),0.501388888888888)</f>
        <v>0.501388888888888</v>
      </c>
      <c r="H95" t="str">
        <f ca="1">IFERROR(__xludf.DUMMYFUNCTION("""COMPUTED_VALUE"""),"B")</f>
        <v>B</v>
      </c>
      <c r="I95" s="158">
        <f ca="1">IFERROR(__xludf.DUMMYFUNCTION("""COMPUTED_VALUE"""),0.576388888888888)</f>
        <v>0.57638888888888795</v>
      </c>
      <c r="J95" t="str">
        <f ca="1">IFERROR(__xludf.DUMMYFUNCTION("""COMPUTED_VALUE"""),"B")</f>
        <v>B</v>
      </c>
      <c r="K95" s="158">
        <f ca="1">IFERROR(__xludf.DUMMYFUNCTION("""COMPUTED_VALUE"""),0.455555555555555)</f>
        <v>0.45555555555555499</v>
      </c>
      <c r="L95" t="str">
        <f ca="1">IFERROR(__xludf.DUMMYFUNCTION("""COMPUTED_VALUE"""),"B")</f>
        <v>B</v>
      </c>
      <c r="M95" s="158">
        <f ca="1">IFERROR(__xludf.DUMMYFUNCTION("""COMPUTED_VALUE"""),0.545833333333333)</f>
        <v>0.54583333333333295</v>
      </c>
      <c r="N95" t="str">
        <f ca="1">IFERROR(__xludf.DUMMYFUNCTION("""COMPUTED_VALUE"""),"B")</f>
        <v>B</v>
      </c>
      <c r="O95" t="str">
        <f ca="1">IFERROR(__xludf.DUMMYFUNCTION("""COMPUTED_VALUE"""),"")</f>
        <v/>
      </c>
      <c r="P95" t="str">
        <f ca="1">IFERROR(__xludf.DUMMYFUNCTION("""COMPUTED_VALUE"""),"")</f>
        <v/>
      </c>
      <c r="Q95" s="158">
        <f ca="1">IFERROR(__xludf.DUMMYFUNCTION("""COMPUTED_VALUE"""),0.515277777777777)</f>
        <v>0.51527777777777695</v>
      </c>
      <c r="R95" t="str">
        <f ca="1">IFERROR(__xludf.DUMMYFUNCTION("""COMPUTED_VALUE"""),"B")</f>
        <v>B</v>
      </c>
      <c r="S95" s="158">
        <f ca="1">IFERROR(__xludf.DUMMYFUNCTION("""COMPUTED_VALUE"""),0.553472222222222)</f>
        <v>0.55347222222222203</v>
      </c>
      <c r="T95" t="str">
        <f ca="1">IFERROR(__xludf.DUMMYFUNCTION("""COMPUTED_VALUE"""),"B")</f>
        <v>B</v>
      </c>
      <c r="U95" t="str">
        <f ca="1">IFERROR(__xludf.DUMMYFUNCTION("""COMPUTED_VALUE"""),"")</f>
        <v/>
      </c>
      <c r="V95" t="str">
        <f ca="1">IFERROR(__xludf.DUMMYFUNCTION("""COMPUTED_VALUE"""),"")</f>
        <v/>
      </c>
      <c r="W95" t="str">
        <f ca="1">IFERROR(__xludf.DUMMYFUNCTION("""COMPUTED_VALUE"""),"")</f>
        <v/>
      </c>
      <c r="X95" t="str">
        <f ca="1">IFERROR(__xludf.DUMMYFUNCTION("""COMPUTED_VALUE"""),"")</f>
        <v/>
      </c>
      <c r="Y95" t="str">
        <f ca="1">IFERROR(__xludf.DUMMYFUNCTION("""COMPUTED_VALUE"""),"ZŠ")</f>
        <v>ZŠ</v>
      </c>
      <c r="Z95" t="b">
        <f ca="1">IFERROR(__xludf.DUMMYFUNCTION("""COMPUTED_VALUE"""),TRUE)</f>
        <v>1</v>
      </c>
      <c r="AA95" t="b">
        <f ca="1">IFERROR(__xludf.DUMMYFUNCTION("""COMPUTED_VALUE"""),FALSE)</f>
        <v>0</v>
      </c>
      <c r="AB95" t="b">
        <f ca="1">IFERROR(__xludf.DUMMYFUNCTION("""COMPUTED_VALUE"""),FALSE)</f>
        <v>0</v>
      </c>
      <c r="AC95" t="b">
        <f ca="1">IFERROR(__xludf.DUMMYFUNCTION("""COMPUTED_VALUE"""),TRUE)</f>
        <v>1</v>
      </c>
      <c r="AD95" t="b">
        <f ca="1">IFERROR(__xludf.DUMMYFUNCTION("""COMPUTED_VALUE"""),FALSE)</f>
        <v>0</v>
      </c>
      <c r="AE95" t="b">
        <f ca="1">IFERROR(__xludf.DUMMYFUNCTION("""COMPUTED_VALUE"""),FALSE)</f>
        <v>0</v>
      </c>
      <c r="AF95" t="b">
        <f ca="1">IFERROR(__xludf.DUMMYFUNCTION("""COMPUTED_VALUE"""),FALSE)</f>
        <v>0</v>
      </c>
      <c r="AG95" t="str">
        <f ca="1">IFERROR(__xludf.DUMMYFUNCTION("""COMPUTED_VALUE"""),"Čára (line follower), Autonomní medvěd (bear rescue advance), Sprint - LEGO (drag race - Lego)")</f>
        <v>Čára (line follower), Autonomní medvěd (bear rescue advance), Sprint - LEGO (drag race - Lego)</v>
      </c>
    </row>
    <row r="96" spans="1:33" ht="13.2">
      <c r="A96">
        <f ca="1">IFERROR(__xludf.DUMMYFUNCTION("""COMPUTED_VALUE"""),99)</f>
        <v>99</v>
      </c>
      <c r="B96" t="str">
        <f ca="1">IFERROR(__xludf.DUMMYFUNCTION("""COMPUTED_VALUE"""),"Praha")</f>
        <v>Praha</v>
      </c>
      <c r="C96" t="str">
        <f ca="1">IFERROR(__xludf.DUMMYFUNCTION("""COMPUTED_VALUE"""),"Gymnázium PORG Praha")</f>
        <v>Gymnázium PORG Praha</v>
      </c>
      <c r="D96" t="str">
        <f ca="1">IFERROR(__xludf.DUMMYFUNCTION("""COMPUTED_VALUE"""),"PORG 3")</f>
        <v>PORG 3</v>
      </c>
      <c r="E96" s="158">
        <f ca="1">IFERROR(__xludf.DUMMYFUNCTION("""COMPUTED_VALUE"""),0.43125)</f>
        <v>0.43125000000000002</v>
      </c>
      <c r="F96" t="str">
        <f ca="1">IFERROR(__xludf.DUMMYFUNCTION("""COMPUTED_VALUE"""),"A")</f>
        <v>A</v>
      </c>
      <c r="G96" s="158">
        <f ca="1">IFERROR(__xludf.DUMMYFUNCTION("""COMPUTED_VALUE"""),0.501388888888888)</f>
        <v>0.501388888888888</v>
      </c>
      <c r="H96" t="str">
        <f ca="1">IFERROR(__xludf.DUMMYFUNCTION("""COMPUTED_VALUE"""),"A")</f>
        <v>A</v>
      </c>
      <c r="I96" s="158">
        <f ca="1">IFERROR(__xludf.DUMMYFUNCTION("""COMPUTED_VALUE"""),0.576388888888888)</f>
        <v>0.57638888888888795</v>
      </c>
      <c r="J96" t="str">
        <f ca="1">IFERROR(__xludf.DUMMYFUNCTION("""COMPUTED_VALUE"""),"A")</f>
        <v>A</v>
      </c>
      <c r="K96" s="158">
        <f ca="1">IFERROR(__xludf.DUMMYFUNCTION("""COMPUTED_VALUE"""),0.457638888888888)</f>
        <v>0.45763888888888798</v>
      </c>
      <c r="L96" t="str">
        <f ca="1">IFERROR(__xludf.DUMMYFUNCTION("""COMPUTED_VALUE"""),"A")</f>
        <v>A</v>
      </c>
      <c r="M96" s="158">
        <f ca="1">IFERROR(__xludf.DUMMYFUNCTION("""COMPUTED_VALUE"""),0.547916666666666)</f>
        <v>0.54791666666666605</v>
      </c>
      <c r="N96" t="str">
        <f ca="1">IFERROR(__xludf.DUMMYFUNCTION("""COMPUTED_VALUE"""),"A")</f>
        <v>A</v>
      </c>
      <c r="O96" t="str">
        <f ca="1">IFERROR(__xludf.DUMMYFUNCTION("""COMPUTED_VALUE"""),"")</f>
        <v/>
      </c>
      <c r="P96" t="str">
        <f ca="1">IFERROR(__xludf.DUMMYFUNCTION("""COMPUTED_VALUE"""),"")</f>
        <v/>
      </c>
      <c r="Q96" t="str">
        <f ca="1">IFERROR(__xludf.DUMMYFUNCTION("""COMPUTED_VALUE"""),"")</f>
        <v/>
      </c>
      <c r="R96" t="str">
        <f ca="1">IFERROR(__xludf.DUMMYFUNCTION("""COMPUTED_VALUE"""),"")</f>
        <v/>
      </c>
      <c r="S96" t="str">
        <f ca="1">IFERROR(__xludf.DUMMYFUNCTION("""COMPUTED_VALUE"""),"")</f>
        <v/>
      </c>
      <c r="T96" t="str">
        <f ca="1">IFERROR(__xludf.DUMMYFUNCTION("""COMPUTED_VALUE"""),"")</f>
        <v/>
      </c>
      <c r="U96" t="str">
        <f ca="1">IFERROR(__xludf.DUMMYFUNCTION("""COMPUTED_VALUE"""),"")</f>
        <v/>
      </c>
      <c r="V96" t="str">
        <f ca="1">IFERROR(__xludf.DUMMYFUNCTION("""COMPUTED_VALUE"""),"")</f>
        <v/>
      </c>
      <c r="W96" t="str">
        <f ca="1">IFERROR(__xludf.DUMMYFUNCTION("""COMPUTED_VALUE"""),"")</f>
        <v/>
      </c>
      <c r="X96" t="str">
        <f ca="1">IFERROR(__xludf.DUMMYFUNCTION("""COMPUTED_VALUE"""),"")</f>
        <v/>
      </c>
      <c r="Y96" t="str">
        <f ca="1">IFERROR(__xludf.DUMMYFUNCTION("""COMPUTED_VALUE"""),"ZŠ")</f>
        <v>ZŠ</v>
      </c>
      <c r="Z96" t="b">
        <f ca="1">IFERROR(__xludf.DUMMYFUNCTION("""COMPUTED_VALUE"""),TRUE)</f>
        <v>1</v>
      </c>
      <c r="AA96" t="b">
        <f ca="1">IFERROR(__xludf.DUMMYFUNCTION("""COMPUTED_VALUE"""),TRUE)</f>
        <v>1</v>
      </c>
      <c r="AB96" t="b">
        <f ca="1">IFERROR(__xludf.DUMMYFUNCTION("""COMPUTED_VALUE"""),FALSE)</f>
        <v>0</v>
      </c>
      <c r="AC96" t="b">
        <f ca="1">IFERROR(__xludf.DUMMYFUNCTION("""COMPUTED_VALUE"""),FALSE)</f>
        <v>0</v>
      </c>
      <c r="AD96" t="b">
        <f ca="1">IFERROR(__xludf.DUMMYFUNCTION("""COMPUTED_VALUE"""),FALSE)</f>
        <v>0</v>
      </c>
      <c r="AE96" t="b">
        <f ca="1">IFERROR(__xludf.DUMMYFUNCTION("""COMPUTED_VALUE"""),FALSE)</f>
        <v>0</v>
      </c>
      <c r="AF96" t="b">
        <f ca="1">IFERROR(__xludf.DUMMYFUNCTION("""COMPUTED_VALUE"""),FALSE)</f>
        <v>0</v>
      </c>
      <c r="AG96" t="str">
        <f ca="1">IFERROR(__xludf.DUMMYFUNCTION("""COMPUTED_VALUE"""),"Čára (line follower), Autonomní medvěd (bear rescue advance)")</f>
        <v>Čára (line follower), Autonomní medvěd (bear rescue advance)</v>
      </c>
    </row>
    <row r="97" spans="1:33" ht="13.2">
      <c r="A97">
        <f ca="1">IFERROR(__xludf.DUMMYFUNCTION("""COMPUTED_VALUE"""),100)</f>
        <v>100</v>
      </c>
      <c r="B97" t="str">
        <f ca="1">IFERROR(__xludf.DUMMYFUNCTION("""COMPUTED_VALUE"""),"Strakonice")</f>
        <v>Strakonice</v>
      </c>
      <c r="C97" t="str">
        <f ca="1">IFERROR(__xludf.DUMMYFUNCTION("""COMPUTED_VALUE"""),"Gymnázium, Strakonice, Máchova 174")</f>
        <v>Gymnázium, Strakonice, Máchova 174</v>
      </c>
      <c r="D97" t="str">
        <f ca="1">IFERROR(__xludf.DUMMYFUNCTION("""COMPUTED_VALUE"""),"Gymstr1A")</f>
        <v>Gymstr1A</v>
      </c>
      <c r="E97" s="158">
        <f ca="1">IFERROR(__xludf.DUMMYFUNCTION("""COMPUTED_VALUE"""),0.432638888888888)</f>
        <v>0.43263888888888802</v>
      </c>
      <c r="F97" t="str">
        <f ca="1">IFERROR(__xludf.DUMMYFUNCTION("""COMPUTED_VALUE"""),"B")</f>
        <v>B</v>
      </c>
      <c r="G97" s="158">
        <f ca="1">IFERROR(__xludf.DUMMYFUNCTION("""COMPUTED_VALUE"""),0.502777777777777)</f>
        <v>0.50277777777777699</v>
      </c>
      <c r="H97" t="str">
        <f ca="1">IFERROR(__xludf.DUMMYFUNCTION("""COMPUTED_VALUE"""),"B")</f>
        <v>B</v>
      </c>
      <c r="I97" s="158">
        <f ca="1">IFERROR(__xludf.DUMMYFUNCTION("""COMPUTED_VALUE"""),0.577777777777777)</f>
        <v>0.57777777777777695</v>
      </c>
      <c r="J97" t="str">
        <f ca="1">IFERROR(__xludf.DUMMYFUNCTION("""COMPUTED_VALUE"""),"B")</f>
        <v>B</v>
      </c>
      <c r="K97" t="str">
        <f ca="1">IFERROR(__xludf.DUMMYFUNCTION("""COMPUTED_VALUE"""),"")</f>
        <v/>
      </c>
      <c r="L97" t="str">
        <f ca="1">IFERROR(__xludf.DUMMYFUNCTION("""COMPUTED_VALUE"""),"")</f>
        <v/>
      </c>
      <c r="M97" t="str">
        <f ca="1">IFERROR(__xludf.DUMMYFUNCTION("""COMPUTED_VALUE"""),"")</f>
        <v/>
      </c>
      <c r="N97" t="str">
        <f ca="1">IFERROR(__xludf.DUMMYFUNCTION("""COMPUTED_VALUE"""),"")</f>
        <v/>
      </c>
      <c r="O97" t="str">
        <f ca="1">IFERROR(__xludf.DUMMYFUNCTION("""COMPUTED_VALUE"""),"")</f>
        <v/>
      </c>
      <c r="P97" t="str">
        <f ca="1">IFERROR(__xludf.DUMMYFUNCTION("""COMPUTED_VALUE"""),"")</f>
        <v/>
      </c>
      <c r="Q97" t="str">
        <f ca="1">IFERROR(__xludf.DUMMYFUNCTION("""COMPUTED_VALUE"""),"")</f>
        <v/>
      </c>
      <c r="R97" t="str">
        <f ca="1">IFERROR(__xludf.DUMMYFUNCTION("""COMPUTED_VALUE"""),"")</f>
        <v/>
      </c>
      <c r="S97" t="str">
        <f ca="1">IFERROR(__xludf.DUMMYFUNCTION("""COMPUTED_VALUE"""),"")</f>
        <v/>
      </c>
      <c r="T97" t="str">
        <f ca="1">IFERROR(__xludf.DUMMYFUNCTION("""COMPUTED_VALUE"""),"")</f>
        <v/>
      </c>
      <c r="U97" t="str">
        <f ca="1">IFERROR(__xludf.DUMMYFUNCTION("""COMPUTED_VALUE"""),"")</f>
        <v/>
      </c>
      <c r="V97" t="str">
        <f ca="1">IFERROR(__xludf.DUMMYFUNCTION("""COMPUTED_VALUE"""),"")</f>
        <v/>
      </c>
      <c r="W97" t="str">
        <f ca="1">IFERROR(__xludf.DUMMYFUNCTION("""COMPUTED_VALUE"""),"")</f>
        <v/>
      </c>
      <c r="X97" t="str">
        <f ca="1">IFERROR(__xludf.DUMMYFUNCTION("""COMPUTED_VALUE"""),"")</f>
        <v/>
      </c>
      <c r="Y97" t="str">
        <f ca="1">IFERROR(__xludf.DUMMYFUNCTION("""COMPUTED_VALUE"""),"SŠ")</f>
        <v>SŠ</v>
      </c>
      <c r="Z97" t="b">
        <f ca="1">IFERROR(__xludf.DUMMYFUNCTION("""COMPUTED_VALUE"""),TRUE)</f>
        <v>1</v>
      </c>
      <c r="AA97" t="b">
        <f ca="1">IFERROR(__xludf.DUMMYFUNCTION("""COMPUTED_VALUE"""),FALSE)</f>
        <v>0</v>
      </c>
      <c r="AB97" t="b">
        <f ca="1">IFERROR(__xludf.DUMMYFUNCTION("""COMPUTED_VALUE"""),FALSE)</f>
        <v>0</v>
      </c>
      <c r="AC97" t="b">
        <f ca="1">IFERROR(__xludf.DUMMYFUNCTION("""COMPUTED_VALUE"""),FALSE)</f>
        <v>0</v>
      </c>
      <c r="AD97" t="b">
        <f ca="1">IFERROR(__xludf.DUMMYFUNCTION("""COMPUTED_VALUE"""),FALSE)</f>
        <v>0</v>
      </c>
      <c r="AE97" t="b">
        <f ca="1">IFERROR(__xludf.DUMMYFUNCTION("""COMPUTED_VALUE"""),FALSE)</f>
        <v>0</v>
      </c>
      <c r="AF97" t="b">
        <f ca="1">IFERROR(__xludf.DUMMYFUNCTION("""COMPUTED_VALUE"""),FALSE)</f>
        <v>0</v>
      </c>
      <c r="AG97" t="str">
        <f ca="1">IFERROR(__xludf.DUMMYFUNCTION("""COMPUTED_VALUE"""),"Čára (line follower)")</f>
        <v>Čára (line follower)</v>
      </c>
    </row>
    <row r="98" spans="1:33" ht="13.2">
      <c r="A98">
        <f ca="1">IFERROR(__xludf.DUMMYFUNCTION("""COMPUTED_VALUE"""),101)</f>
        <v>101</v>
      </c>
      <c r="B98" t="str">
        <f ca="1">IFERROR(__xludf.DUMMYFUNCTION("""COMPUTED_VALUE"""),"Strakonice")</f>
        <v>Strakonice</v>
      </c>
      <c r="C98" t="str">
        <f ca="1">IFERROR(__xludf.DUMMYFUNCTION("""COMPUTED_VALUE"""),"Gymnázium, Strakonice, Máchova 174")</f>
        <v>Gymnázium, Strakonice, Máchova 174</v>
      </c>
      <c r="D98" t="str">
        <f ca="1">IFERROR(__xludf.DUMMYFUNCTION("""COMPUTED_VALUE"""),"Skabetka030")</f>
        <v>Skabetka030</v>
      </c>
      <c r="E98" t="str">
        <f ca="1">IFERROR(__xludf.DUMMYFUNCTION("""COMPUTED_VALUE"""),"---")</f>
        <v>---</v>
      </c>
      <c r="F98" t="str">
        <f ca="1">IFERROR(__xludf.DUMMYFUNCTION("""COMPUTED_VALUE"""),"")</f>
        <v/>
      </c>
      <c r="G98" t="str">
        <f ca="1">IFERROR(__xludf.DUMMYFUNCTION("""COMPUTED_VALUE"""),"---")</f>
        <v>---</v>
      </c>
      <c r="H98" t="str">
        <f ca="1">IFERROR(__xludf.DUMMYFUNCTION("""COMPUTED_VALUE"""),"")</f>
        <v/>
      </c>
      <c r="I98" t="str">
        <f ca="1">IFERROR(__xludf.DUMMYFUNCTION("""COMPUTED_VALUE"""),"---")</f>
        <v>---</v>
      </c>
      <c r="J98" t="str">
        <f ca="1">IFERROR(__xludf.DUMMYFUNCTION("""COMPUTED_VALUE"""),"")</f>
        <v/>
      </c>
      <c r="K98" s="158">
        <f ca="1">IFERROR(__xludf.DUMMYFUNCTION("""COMPUTED_VALUE"""),0.457638888888888)</f>
        <v>0.45763888888888798</v>
      </c>
      <c r="L98" t="str">
        <f ca="1">IFERROR(__xludf.DUMMYFUNCTION("""COMPUTED_VALUE"""),"B")</f>
        <v>B</v>
      </c>
      <c r="M98" s="158">
        <f ca="1">IFERROR(__xludf.DUMMYFUNCTION("""COMPUTED_VALUE"""),0.547916666666666)</f>
        <v>0.54791666666666605</v>
      </c>
      <c r="N98" t="str">
        <f ca="1">IFERROR(__xludf.DUMMYFUNCTION("""COMPUTED_VALUE"""),"B")</f>
        <v>B</v>
      </c>
      <c r="O98" t="str">
        <f ca="1">IFERROR(__xludf.DUMMYFUNCTION("""COMPUTED_VALUE"""),"")</f>
        <v/>
      </c>
      <c r="P98" t="str">
        <f ca="1">IFERROR(__xludf.DUMMYFUNCTION("""COMPUTED_VALUE"""),"")</f>
        <v/>
      </c>
      <c r="Q98" t="str">
        <f ca="1">IFERROR(__xludf.DUMMYFUNCTION("""COMPUTED_VALUE"""),"")</f>
        <v/>
      </c>
      <c r="R98" t="str">
        <f ca="1">IFERROR(__xludf.DUMMYFUNCTION("""COMPUTED_VALUE"""),"")</f>
        <v/>
      </c>
      <c r="S98" t="str">
        <f ca="1">IFERROR(__xludf.DUMMYFUNCTION("""COMPUTED_VALUE"""),"")</f>
        <v/>
      </c>
      <c r="T98" t="str">
        <f ca="1">IFERROR(__xludf.DUMMYFUNCTION("""COMPUTED_VALUE"""),"")</f>
        <v/>
      </c>
      <c r="U98" t="str">
        <f ca="1">IFERROR(__xludf.DUMMYFUNCTION("""COMPUTED_VALUE"""),"")</f>
        <v/>
      </c>
      <c r="V98" t="str">
        <f ca="1">IFERROR(__xludf.DUMMYFUNCTION("""COMPUTED_VALUE"""),"")</f>
        <v/>
      </c>
      <c r="W98" t="str">
        <f ca="1">IFERROR(__xludf.DUMMYFUNCTION("""COMPUTED_VALUE"""),"")</f>
        <v/>
      </c>
      <c r="X98" t="str">
        <f ca="1">IFERROR(__xludf.DUMMYFUNCTION("""COMPUTED_VALUE"""),"")</f>
        <v/>
      </c>
      <c r="Y98" t="str">
        <f ca="1">IFERROR(__xludf.DUMMYFUNCTION("""COMPUTED_VALUE"""),"ZŠ")</f>
        <v>ZŠ</v>
      </c>
      <c r="Z98" s="158" t="b">
        <f ca="1">IFERROR(__xludf.DUMMYFUNCTION("""COMPUTED_VALUE"""),FALSE)</f>
        <v>0</v>
      </c>
      <c r="AA98" t="b">
        <f ca="1">IFERROR(__xludf.DUMMYFUNCTION("""COMPUTED_VALUE"""),TRUE)</f>
        <v>1</v>
      </c>
      <c r="AB98" t="b">
        <f ca="1">IFERROR(__xludf.DUMMYFUNCTION("""COMPUTED_VALUE"""),FALSE)</f>
        <v>0</v>
      </c>
      <c r="AC98" t="b">
        <f ca="1">IFERROR(__xludf.DUMMYFUNCTION("""COMPUTED_VALUE"""),FALSE)</f>
        <v>0</v>
      </c>
      <c r="AD98" t="b">
        <f ca="1">IFERROR(__xludf.DUMMYFUNCTION("""COMPUTED_VALUE"""),FALSE)</f>
        <v>0</v>
      </c>
      <c r="AE98" t="b">
        <f ca="1">IFERROR(__xludf.DUMMYFUNCTION("""COMPUTED_VALUE"""),FALSE)</f>
        <v>0</v>
      </c>
      <c r="AF98" t="b">
        <f ca="1">IFERROR(__xludf.DUMMYFUNCTION("""COMPUTED_VALUE"""),FALSE)</f>
        <v>0</v>
      </c>
      <c r="AG98" t="str">
        <f ca="1">IFERROR(__xludf.DUMMYFUNCTION("""COMPUTED_VALUE"""),"Autonomní medvěd (bear rescue advance)")</f>
        <v>Autonomní medvěd (bear rescue advance)</v>
      </c>
    </row>
    <row r="99" spans="1:33" ht="13.2">
      <c r="A99">
        <f ca="1">IFERROR(__xludf.DUMMYFUNCTION("""COMPUTED_VALUE"""),102)</f>
        <v>102</v>
      </c>
      <c r="B99" t="str">
        <f ca="1">IFERROR(__xludf.DUMMYFUNCTION("""COMPUTED_VALUE"""),"Strakonice")</f>
        <v>Strakonice</v>
      </c>
      <c r="C99" t="str">
        <f ca="1">IFERROR(__xludf.DUMMYFUNCTION("""COMPUTED_VALUE"""),"Gymnázium, Strakonice, Máchova 174")</f>
        <v>Gymnázium, Strakonice, Máchova 174</v>
      </c>
      <c r="D99" t="str">
        <f ca="1">IFERROR(__xludf.DUMMYFUNCTION("""COMPUTED_VALUE"""),"Gymstr 4.O")</f>
        <v>Gymstr 4.O</v>
      </c>
      <c r="E99" t="str">
        <f ca="1">IFERROR(__xludf.DUMMYFUNCTION("""COMPUTED_VALUE"""),"---")</f>
        <v>---</v>
      </c>
      <c r="F99" t="str">
        <f ca="1">IFERROR(__xludf.DUMMYFUNCTION("""COMPUTED_VALUE"""),"")</f>
        <v/>
      </c>
      <c r="G99" t="str">
        <f ca="1">IFERROR(__xludf.DUMMYFUNCTION("""COMPUTED_VALUE"""),"---")</f>
        <v>---</v>
      </c>
      <c r="H99" t="str">
        <f ca="1">IFERROR(__xludf.DUMMYFUNCTION("""COMPUTED_VALUE"""),"")</f>
        <v/>
      </c>
      <c r="I99" t="str">
        <f ca="1">IFERROR(__xludf.DUMMYFUNCTION("""COMPUTED_VALUE"""),"---")</f>
        <v>---</v>
      </c>
      <c r="J99" t="str">
        <f ca="1">IFERROR(__xludf.DUMMYFUNCTION("""COMPUTED_VALUE"""),"")</f>
        <v/>
      </c>
      <c r="K99" s="158">
        <f ca="1">IFERROR(__xludf.DUMMYFUNCTION("""COMPUTED_VALUE"""),0.459722222222222)</f>
        <v>0.45972222222222198</v>
      </c>
      <c r="L99" t="str">
        <f ca="1">IFERROR(__xludf.DUMMYFUNCTION("""COMPUTED_VALUE"""),"A")</f>
        <v>A</v>
      </c>
      <c r="M99" s="158">
        <f ca="1">IFERROR(__xludf.DUMMYFUNCTION("""COMPUTED_VALUE"""),0.55)</f>
        <v>0.55000000000000004</v>
      </c>
      <c r="N99" t="str">
        <f ca="1">IFERROR(__xludf.DUMMYFUNCTION("""COMPUTED_VALUE"""),"A")</f>
        <v>A</v>
      </c>
      <c r="O99" s="158">
        <f ca="1">IFERROR(__xludf.DUMMYFUNCTION("""COMPUTED_VALUE"""),0.493055555555555)</f>
        <v>0.49305555555555503</v>
      </c>
      <c r="P99" t="str">
        <f ca="1">IFERROR(__xludf.DUMMYFUNCTION("""COMPUTED_VALUE"""),"A")</f>
        <v>A</v>
      </c>
      <c r="Q99" t="str">
        <f ca="1">IFERROR(__xludf.DUMMYFUNCTION("""COMPUTED_VALUE"""),"")</f>
        <v/>
      </c>
      <c r="R99" t="str">
        <f ca="1">IFERROR(__xludf.DUMMYFUNCTION("""COMPUTED_VALUE"""),"")</f>
        <v/>
      </c>
      <c r="S99" t="str">
        <f ca="1">IFERROR(__xludf.DUMMYFUNCTION("""COMPUTED_VALUE"""),"")</f>
        <v/>
      </c>
      <c r="T99" t="str">
        <f ca="1">IFERROR(__xludf.DUMMYFUNCTION("""COMPUTED_VALUE"""),"")</f>
        <v/>
      </c>
      <c r="U99" t="str">
        <f ca="1">IFERROR(__xludf.DUMMYFUNCTION("""COMPUTED_VALUE"""),"")</f>
        <v/>
      </c>
      <c r="V99" t="str">
        <f ca="1">IFERROR(__xludf.DUMMYFUNCTION("""COMPUTED_VALUE"""),"")</f>
        <v/>
      </c>
      <c r="W99" t="str">
        <f ca="1">IFERROR(__xludf.DUMMYFUNCTION("""COMPUTED_VALUE"""),"")</f>
        <v/>
      </c>
      <c r="X99" t="str">
        <f ca="1">IFERROR(__xludf.DUMMYFUNCTION("""COMPUTED_VALUE"""),"")</f>
        <v/>
      </c>
      <c r="Y99" t="str">
        <f ca="1">IFERROR(__xludf.DUMMYFUNCTION("""COMPUTED_VALUE"""),"ZŠ")</f>
        <v>ZŠ</v>
      </c>
      <c r="Z99" s="158" t="b">
        <f ca="1">IFERROR(__xludf.DUMMYFUNCTION("""COMPUTED_VALUE"""),FALSE)</f>
        <v>0</v>
      </c>
      <c r="AA99" t="b">
        <f ca="1">IFERROR(__xludf.DUMMYFUNCTION("""COMPUTED_VALUE"""),TRUE)</f>
        <v>1</v>
      </c>
      <c r="AB99" t="b">
        <f ca="1">IFERROR(__xludf.DUMMYFUNCTION("""COMPUTED_VALUE"""),TRUE)</f>
        <v>1</v>
      </c>
      <c r="AC99" t="b">
        <f ca="1">IFERROR(__xludf.DUMMYFUNCTION("""COMPUTED_VALUE"""),FALSE)</f>
        <v>0</v>
      </c>
      <c r="AD99" t="b">
        <f ca="1">IFERROR(__xludf.DUMMYFUNCTION("""COMPUTED_VALUE"""),FALSE)</f>
        <v>0</v>
      </c>
      <c r="AE99" t="b">
        <f ca="1">IFERROR(__xludf.DUMMYFUNCTION("""COMPUTED_VALUE"""),FALSE)</f>
        <v>0</v>
      </c>
      <c r="AF99" t="b">
        <f ca="1">IFERROR(__xludf.DUMMYFUNCTION("""COMPUTED_VALUE"""),FALSE)</f>
        <v>0</v>
      </c>
      <c r="AG99" t="str">
        <f ca="1">IFERROR(__xludf.DUMMYFUNCTION("""COMPUTED_VALUE"""),"Dálkový medvěd (bear rescue), Autonomní medvěd (bear rescue advance)")</f>
        <v>Dálkový medvěd (bear rescue), Autonomní medvěd (bear rescue advance)</v>
      </c>
    </row>
    <row r="100" spans="1:33" ht="13.2">
      <c r="A100">
        <f ca="1">IFERROR(__xludf.DUMMYFUNCTION("""COMPUTED_VALUE"""),103)</f>
        <v>103</v>
      </c>
      <c r="B100" t="str">
        <f ca="1">IFERROR(__xludf.DUMMYFUNCTION("""COMPUTED_VALUE"""),"Trutnov")</f>
        <v>Trutnov</v>
      </c>
      <c r="C100" t="str">
        <f ca="1">IFERROR(__xludf.DUMMYFUNCTION("""COMPUTED_VALUE"""),"Základní škola, Trutnov, R. Frimla 816")</f>
        <v>Základní škola, Trutnov, R. Frimla 816</v>
      </c>
      <c r="D100" t="str">
        <f ca="1">IFERROR(__xludf.DUMMYFUNCTION("""COMPUTED_VALUE"""),"KAJmani")</f>
        <v>KAJmani</v>
      </c>
      <c r="E100" t="str">
        <f ca="1">IFERROR(__xludf.DUMMYFUNCTION("""COMPUTED_VALUE"""),"---")</f>
        <v>---</v>
      </c>
      <c r="F100" t="str">
        <f ca="1">IFERROR(__xludf.DUMMYFUNCTION("""COMPUTED_VALUE"""),"")</f>
        <v/>
      </c>
      <c r="G100" t="str">
        <f ca="1">IFERROR(__xludf.DUMMYFUNCTION("""COMPUTED_VALUE"""),"---")</f>
        <v>---</v>
      </c>
      <c r="H100" t="str">
        <f ca="1">IFERROR(__xludf.DUMMYFUNCTION("""COMPUTED_VALUE"""),"")</f>
        <v/>
      </c>
      <c r="I100" t="str">
        <f ca="1">IFERROR(__xludf.DUMMYFUNCTION("""COMPUTED_VALUE"""),"---")</f>
        <v>---</v>
      </c>
      <c r="J100" t="str">
        <f ca="1">IFERROR(__xludf.DUMMYFUNCTION("""COMPUTED_VALUE"""),"")</f>
        <v/>
      </c>
      <c r="K100" t="str">
        <f ca="1">IFERROR(__xludf.DUMMYFUNCTION("""COMPUTED_VALUE"""),"")</f>
        <v/>
      </c>
      <c r="L100" t="str">
        <f ca="1">IFERROR(__xludf.DUMMYFUNCTION("""COMPUTED_VALUE"""),"")</f>
        <v/>
      </c>
      <c r="M100" t="str">
        <f ca="1">IFERROR(__xludf.DUMMYFUNCTION("""COMPUTED_VALUE"""),"")</f>
        <v/>
      </c>
      <c r="N100" t="str">
        <f ca="1">IFERROR(__xludf.DUMMYFUNCTION("""COMPUTED_VALUE"""),"")</f>
        <v/>
      </c>
      <c r="O100" t="str">
        <f ca="1">IFERROR(__xludf.DUMMYFUNCTION("""COMPUTED_VALUE"""),"")</f>
        <v/>
      </c>
      <c r="P100" t="str">
        <f ca="1">IFERROR(__xludf.DUMMYFUNCTION("""COMPUTED_VALUE"""),"")</f>
        <v/>
      </c>
      <c r="Q100" s="158">
        <f ca="1">IFERROR(__xludf.DUMMYFUNCTION("""COMPUTED_VALUE"""),0.515972222222222)</f>
        <v>0.51597222222222205</v>
      </c>
      <c r="R100" t="str">
        <f ca="1">IFERROR(__xludf.DUMMYFUNCTION("""COMPUTED_VALUE"""),"A")</f>
        <v>A</v>
      </c>
      <c r="S100" s="158">
        <f ca="1">IFERROR(__xludf.DUMMYFUNCTION("""COMPUTED_VALUE"""),0.554166666666666)</f>
        <v>0.55416666666666603</v>
      </c>
      <c r="T100" t="str">
        <f ca="1">IFERROR(__xludf.DUMMYFUNCTION("""COMPUTED_VALUE"""),"A")</f>
        <v>A</v>
      </c>
      <c r="U100" t="str">
        <f ca="1">IFERROR(__xludf.DUMMYFUNCTION("""COMPUTED_VALUE"""),"")</f>
        <v/>
      </c>
      <c r="V100" t="str">
        <f ca="1">IFERROR(__xludf.DUMMYFUNCTION("""COMPUTED_VALUE"""),"")</f>
        <v/>
      </c>
      <c r="W100" t="str">
        <f ca="1">IFERROR(__xludf.DUMMYFUNCTION("""COMPUTED_VALUE"""),"")</f>
        <v/>
      </c>
      <c r="X100" t="str">
        <f ca="1">IFERROR(__xludf.DUMMYFUNCTION("""COMPUTED_VALUE"""),"")</f>
        <v/>
      </c>
      <c r="Y100" t="str">
        <f ca="1">IFERROR(__xludf.DUMMYFUNCTION("""COMPUTED_VALUE"""),"ZŠ")</f>
        <v>ZŠ</v>
      </c>
      <c r="Z100" s="158" t="b">
        <f ca="1">IFERROR(__xludf.DUMMYFUNCTION("""COMPUTED_VALUE"""),FALSE)</f>
        <v>0</v>
      </c>
      <c r="AA100" t="b">
        <f ca="1">IFERROR(__xludf.DUMMYFUNCTION("""COMPUTED_VALUE"""),FALSE)</f>
        <v>0</v>
      </c>
      <c r="AB100" t="b">
        <f ca="1">IFERROR(__xludf.DUMMYFUNCTION("""COMPUTED_VALUE"""),FALSE)</f>
        <v>0</v>
      </c>
      <c r="AC100" t="b">
        <f ca="1">IFERROR(__xludf.DUMMYFUNCTION("""COMPUTED_VALUE"""),TRUE)</f>
        <v>1</v>
      </c>
      <c r="AD100" t="b">
        <f ca="1">IFERROR(__xludf.DUMMYFUNCTION("""COMPUTED_VALUE"""),FALSE)</f>
        <v>0</v>
      </c>
      <c r="AE100" t="b">
        <f ca="1">IFERROR(__xludf.DUMMYFUNCTION("""COMPUTED_VALUE"""),FALSE)</f>
        <v>0</v>
      </c>
      <c r="AF100" t="b">
        <f ca="1">IFERROR(__xludf.DUMMYFUNCTION("""COMPUTED_VALUE"""),FALSE)</f>
        <v>0</v>
      </c>
      <c r="AG100" t="str">
        <f ca="1">IFERROR(__xludf.DUMMYFUNCTION("""COMPUTED_VALUE"""),"Sprint - LEGO (drag race - Lego)")</f>
        <v>Sprint - LEGO (drag race - Lego)</v>
      </c>
    </row>
    <row r="101" spans="1:33" ht="13.2">
      <c r="A101">
        <f ca="1">IFERROR(__xludf.DUMMYFUNCTION("""COMPUTED_VALUE"""),104)</f>
        <v>104</v>
      </c>
      <c r="B101" t="str">
        <f ca="1">IFERROR(__xludf.DUMMYFUNCTION("""COMPUTED_VALUE"""),"Trutnov")</f>
        <v>Trutnov</v>
      </c>
      <c r="C101" t="str">
        <f ca="1">IFERROR(__xludf.DUMMYFUNCTION("""COMPUTED_VALUE"""),"Základní škola, Trutnov, R. Frimla 816")</f>
        <v>Základní škola, Trutnov, R. Frimla 816</v>
      </c>
      <c r="D101" t="str">
        <f ca="1">IFERROR(__xludf.DUMMYFUNCTION("""COMPUTED_VALUE"""),"G-skill")</f>
        <v>G-skill</v>
      </c>
      <c r="E101" s="158">
        <f ca="1">IFERROR(__xludf.DUMMYFUNCTION("""COMPUTED_VALUE"""),0.432638888888888)</f>
        <v>0.43263888888888802</v>
      </c>
      <c r="F101" t="str">
        <f ca="1">IFERROR(__xludf.DUMMYFUNCTION("""COMPUTED_VALUE"""),"A")</f>
        <v>A</v>
      </c>
      <c r="G101" s="158">
        <f ca="1">IFERROR(__xludf.DUMMYFUNCTION("""COMPUTED_VALUE"""),0.502777777777777)</f>
        <v>0.50277777777777699</v>
      </c>
      <c r="H101" t="str">
        <f ca="1">IFERROR(__xludf.DUMMYFUNCTION("""COMPUTED_VALUE"""),"A")</f>
        <v>A</v>
      </c>
      <c r="I101" s="158">
        <f ca="1">IFERROR(__xludf.DUMMYFUNCTION("""COMPUTED_VALUE"""),0.577777777777777)</f>
        <v>0.57777777777777695</v>
      </c>
      <c r="J101" t="str">
        <f ca="1">IFERROR(__xludf.DUMMYFUNCTION("""COMPUTED_VALUE"""),"A")</f>
        <v>A</v>
      </c>
      <c r="K101" t="str">
        <f ca="1">IFERROR(__xludf.DUMMYFUNCTION("""COMPUTED_VALUE"""),"")</f>
        <v/>
      </c>
      <c r="L101" t="str">
        <f ca="1">IFERROR(__xludf.DUMMYFUNCTION("""COMPUTED_VALUE"""),"")</f>
        <v/>
      </c>
      <c r="M101" t="str">
        <f ca="1">IFERROR(__xludf.DUMMYFUNCTION("""COMPUTED_VALUE"""),"")</f>
        <v/>
      </c>
      <c r="N101" t="str">
        <f ca="1">IFERROR(__xludf.DUMMYFUNCTION("""COMPUTED_VALUE"""),"")</f>
        <v/>
      </c>
      <c r="O101" t="str">
        <f ca="1">IFERROR(__xludf.DUMMYFUNCTION("""COMPUTED_VALUE"""),"")</f>
        <v/>
      </c>
      <c r="P101" t="str">
        <f ca="1">IFERROR(__xludf.DUMMYFUNCTION("""COMPUTED_VALUE"""),"")</f>
        <v/>
      </c>
      <c r="Q101" t="str">
        <f ca="1">IFERROR(__xludf.DUMMYFUNCTION("""COMPUTED_VALUE"""),"")</f>
        <v/>
      </c>
      <c r="R101" t="str">
        <f ca="1">IFERROR(__xludf.DUMMYFUNCTION("""COMPUTED_VALUE"""),"")</f>
        <v/>
      </c>
      <c r="S101" t="str">
        <f ca="1">IFERROR(__xludf.DUMMYFUNCTION("""COMPUTED_VALUE"""),"")</f>
        <v/>
      </c>
      <c r="T101" t="str">
        <f ca="1">IFERROR(__xludf.DUMMYFUNCTION("""COMPUTED_VALUE"""),"")</f>
        <v/>
      </c>
      <c r="U101" t="str">
        <f ca="1">IFERROR(__xludf.DUMMYFUNCTION("""COMPUTED_VALUE"""),"")</f>
        <v/>
      </c>
      <c r="V101" t="str">
        <f ca="1">IFERROR(__xludf.DUMMYFUNCTION("""COMPUTED_VALUE"""),"")</f>
        <v/>
      </c>
      <c r="W101" t="str">
        <f ca="1">IFERROR(__xludf.DUMMYFUNCTION("""COMPUTED_VALUE"""),"")</f>
        <v/>
      </c>
      <c r="X101" t="str">
        <f ca="1">IFERROR(__xludf.DUMMYFUNCTION("""COMPUTED_VALUE"""),"")</f>
        <v/>
      </c>
      <c r="Y101" t="str">
        <f ca="1">IFERROR(__xludf.DUMMYFUNCTION("""COMPUTED_VALUE"""),"ZŠ")</f>
        <v>ZŠ</v>
      </c>
      <c r="Z101" t="b">
        <f ca="1">IFERROR(__xludf.DUMMYFUNCTION("""COMPUTED_VALUE"""),TRUE)</f>
        <v>1</v>
      </c>
      <c r="AA101" t="b">
        <f ca="1">IFERROR(__xludf.DUMMYFUNCTION("""COMPUTED_VALUE"""),FALSE)</f>
        <v>0</v>
      </c>
      <c r="AB101" t="b">
        <f ca="1">IFERROR(__xludf.DUMMYFUNCTION("""COMPUTED_VALUE"""),FALSE)</f>
        <v>0</v>
      </c>
      <c r="AC101" t="b">
        <f ca="1">IFERROR(__xludf.DUMMYFUNCTION("""COMPUTED_VALUE"""),FALSE)</f>
        <v>0</v>
      </c>
      <c r="AD101" t="b">
        <f ca="1">IFERROR(__xludf.DUMMYFUNCTION("""COMPUTED_VALUE"""),FALSE)</f>
        <v>0</v>
      </c>
      <c r="AE101" t="b">
        <f ca="1">IFERROR(__xludf.DUMMYFUNCTION("""COMPUTED_VALUE"""),TRUE)</f>
        <v>1</v>
      </c>
      <c r="AF101" t="b">
        <f ca="1">IFERROR(__xludf.DUMMYFUNCTION("""COMPUTED_VALUE"""),FALSE)</f>
        <v>0</v>
      </c>
      <c r="AG101" t="str">
        <f ca="1">IFERROR(__xludf.DUMMYFUNCTION("""COMPUTED_VALUE"""),"Čára (line follower), Freestyle")</f>
        <v>Čára (line follower), Freestyle</v>
      </c>
    </row>
    <row r="102" spans="1:33" ht="13.2">
      <c r="A102">
        <f ca="1">IFERROR(__xludf.DUMMYFUNCTION("""COMPUTED_VALUE"""),105)</f>
        <v>105</v>
      </c>
      <c r="B102" t="str">
        <f ca="1">IFERROR(__xludf.DUMMYFUNCTION("""COMPUTED_VALUE"""),"Trutnov")</f>
        <v>Trutnov</v>
      </c>
      <c r="C102" t="str">
        <f ca="1">IFERROR(__xludf.DUMMYFUNCTION("""COMPUTED_VALUE"""),"Základní škola, Trutnov, R. Frimla 816")</f>
        <v>Základní škola, Trutnov, R. Frimla 816</v>
      </c>
      <c r="D102" t="str">
        <f ca="1">IFERROR(__xludf.DUMMYFUNCTION("""COMPUTED_VALUE"""),"Unicorn")</f>
        <v>Unicorn</v>
      </c>
      <c r="E102" t="str">
        <f ca="1">IFERROR(__xludf.DUMMYFUNCTION("""COMPUTED_VALUE"""),"---")</f>
        <v>---</v>
      </c>
      <c r="F102" t="str">
        <f ca="1">IFERROR(__xludf.DUMMYFUNCTION("""COMPUTED_VALUE"""),"")</f>
        <v/>
      </c>
      <c r="G102" t="str">
        <f ca="1">IFERROR(__xludf.DUMMYFUNCTION("""COMPUTED_VALUE"""),"---")</f>
        <v>---</v>
      </c>
      <c r="H102" t="str">
        <f ca="1">IFERROR(__xludf.DUMMYFUNCTION("""COMPUTED_VALUE"""),"")</f>
        <v/>
      </c>
      <c r="I102" t="str">
        <f ca="1">IFERROR(__xludf.DUMMYFUNCTION("""COMPUTED_VALUE"""),"---")</f>
        <v>---</v>
      </c>
      <c r="J102" t="str">
        <f ca="1">IFERROR(__xludf.DUMMYFUNCTION("""COMPUTED_VALUE"""),"")</f>
        <v/>
      </c>
      <c r="K102" t="str">
        <f ca="1">IFERROR(__xludf.DUMMYFUNCTION("""COMPUTED_VALUE"""),"")</f>
        <v/>
      </c>
      <c r="L102" t="str">
        <f ca="1">IFERROR(__xludf.DUMMYFUNCTION("""COMPUTED_VALUE"""),"")</f>
        <v/>
      </c>
      <c r="M102" t="str">
        <f ca="1">IFERROR(__xludf.DUMMYFUNCTION("""COMPUTED_VALUE"""),"")</f>
        <v/>
      </c>
      <c r="N102" t="str">
        <f ca="1">IFERROR(__xludf.DUMMYFUNCTION("""COMPUTED_VALUE"""),"")</f>
        <v/>
      </c>
      <c r="O102" t="str">
        <f ca="1">IFERROR(__xludf.DUMMYFUNCTION("""COMPUTED_VALUE"""),"")</f>
        <v/>
      </c>
      <c r="P102" t="str">
        <f ca="1">IFERROR(__xludf.DUMMYFUNCTION("""COMPUTED_VALUE"""),"")</f>
        <v/>
      </c>
      <c r="Q102" t="str">
        <f ca="1">IFERROR(__xludf.DUMMYFUNCTION("""COMPUTED_VALUE"""),"")</f>
        <v/>
      </c>
      <c r="R102" t="str">
        <f ca="1">IFERROR(__xludf.DUMMYFUNCTION("""COMPUTED_VALUE"""),"")</f>
        <v/>
      </c>
      <c r="S102" t="str">
        <f ca="1">IFERROR(__xludf.DUMMYFUNCTION("""COMPUTED_VALUE"""),"")</f>
        <v/>
      </c>
      <c r="T102" t="str">
        <f ca="1">IFERROR(__xludf.DUMMYFUNCTION("""COMPUTED_VALUE"""),"")</f>
        <v/>
      </c>
      <c r="U102" t="str">
        <f ca="1">IFERROR(__xludf.DUMMYFUNCTION("""COMPUTED_VALUE"""),"")</f>
        <v/>
      </c>
      <c r="V102" t="str">
        <f ca="1">IFERROR(__xludf.DUMMYFUNCTION("""COMPUTED_VALUE"""),"")</f>
        <v/>
      </c>
      <c r="W102" t="str">
        <f ca="1">IFERROR(__xludf.DUMMYFUNCTION("""COMPUTED_VALUE"""),"")</f>
        <v/>
      </c>
      <c r="X102" t="str">
        <f ca="1">IFERROR(__xludf.DUMMYFUNCTION("""COMPUTED_VALUE"""),"")</f>
        <v/>
      </c>
      <c r="Y102" t="str">
        <f ca="1">IFERROR(__xludf.DUMMYFUNCTION("""COMPUTED_VALUE"""),"ZŠ")</f>
        <v>ZŠ</v>
      </c>
      <c r="Z102" s="158" t="b">
        <f ca="1">IFERROR(__xludf.DUMMYFUNCTION("""COMPUTED_VALUE"""),FALSE)</f>
        <v>0</v>
      </c>
      <c r="AA102" t="b">
        <f ca="1">IFERROR(__xludf.DUMMYFUNCTION("""COMPUTED_VALUE"""),FALSE)</f>
        <v>0</v>
      </c>
      <c r="AB102" t="b">
        <f ca="1">IFERROR(__xludf.DUMMYFUNCTION("""COMPUTED_VALUE"""),FALSE)</f>
        <v>0</v>
      </c>
      <c r="AC102" t="b">
        <f ca="1">IFERROR(__xludf.DUMMYFUNCTION("""COMPUTED_VALUE"""),FALSE)</f>
        <v>0</v>
      </c>
      <c r="AD102" t="b">
        <f ca="1">IFERROR(__xludf.DUMMYFUNCTION("""COMPUTED_VALUE"""),FALSE)</f>
        <v>0</v>
      </c>
      <c r="AE102" t="b">
        <f ca="1">IFERROR(__xludf.DUMMYFUNCTION("""COMPUTED_VALUE"""),FALSE)</f>
        <v>0</v>
      </c>
      <c r="AF102" t="b">
        <f ca="1">IFERROR(__xludf.DUMMYFUNCTION("""COMPUTED_VALUE"""),FALSE)</f>
        <v>0</v>
      </c>
      <c r="AG102" t="str">
        <f ca="1">IFERROR(__xludf.DUMMYFUNCTION("""COMPUTED_VALUE"""),"Freestyle WeDo")</f>
        <v>Freestyle WeDo</v>
      </c>
    </row>
    <row r="103" spans="1:33" ht="13.2">
      <c r="A103">
        <f ca="1">IFERROR(__xludf.DUMMYFUNCTION("""COMPUTED_VALUE"""),106)</f>
        <v>106</v>
      </c>
      <c r="B103" t="str">
        <f ca="1">IFERROR(__xludf.DUMMYFUNCTION("""COMPUTED_VALUE"""),"Opava")</f>
        <v>Opava</v>
      </c>
      <c r="C103" t="str">
        <f ca="1">IFERROR(__xludf.DUMMYFUNCTION("""COMPUTED_VALUE"""),"SVČ Opava")</f>
        <v>SVČ Opava</v>
      </c>
      <c r="D103" t="str">
        <f ca="1">IFERROR(__xludf.DUMMYFUNCTION("""COMPUTED_VALUE"""),"projekt Libjena")</f>
        <v>projekt Libjena</v>
      </c>
      <c r="E103" t="str">
        <f ca="1">IFERROR(__xludf.DUMMYFUNCTION("""COMPUTED_VALUE"""),"---")</f>
        <v>---</v>
      </c>
      <c r="F103" t="str">
        <f ca="1">IFERROR(__xludf.DUMMYFUNCTION("""COMPUTED_VALUE"""),"")</f>
        <v/>
      </c>
      <c r="G103" t="str">
        <f ca="1">IFERROR(__xludf.DUMMYFUNCTION("""COMPUTED_VALUE"""),"---")</f>
        <v>---</v>
      </c>
      <c r="H103" t="str">
        <f ca="1">IFERROR(__xludf.DUMMYFUNCTION("""COMPUTED_VALUE"""),"")</f>
        <v/>
      </c>
      <c r="I103" t="str">
        <f ca="1">IFERROR(__xludf.DUMMYFUNCTION("""COMPUTED_VALUE"""),"---")</f>
        <v>---</v>
      </c>
      <c r="J103" t="str">
        <f ca="1">IFERROR(__xludf.DUMMYFUNCTION("""COMPUTED_VALUE"""),"")</f>
        <v/>
      </c>
      <c r="K103" t="str">
        <f ca="1">IFERROR(__xludf.DUMMYFUNCTION("""COMPUTED_VALUE"""),"")</f>
        <v/>
      </c>
      <c r="L103" t="str">
        <f ca="1">IFERROR(__xludf.DUMMYFUNCTION("""COMPUTED_VALUE"""),"")</f>
        <v/>
      </c>
      <c r="M103" t="str">
        <f ca="1">IFERROR(__xludf.DUMMYFUNCTION("""COMPUTED_VALUE"""),"")</f>
        <v/>
      </c>
      <c r="N103" t="str">
        <f ca="1">IFERROR(__xludf.DUMMYFUNCTION("""COMPUTED_VALUE"""),"")</f>
        <v/>
      </c>
      <c r="O103" s="158">
        <f ca="1">IFERROR(__xludf.DUMMYFUNCTION("""COMPUTED_VALUE"""),0.493055555555555)</f>
        <v>0.49305555555555503</v>
      </c>
      <c r="P103" t="str">
        <f ca="1">IFERROR(__xludf.DUMMYFUNCTION("""COMPUTED_VALUE"""),"B")</f>
        <v>B</v>
      </c>
      <c r="Q103" s="158">
        <f ca="1">IFERROR(__xludf.DUMMYFUNCTION("""COMPUTED_VALUE"""),0.515972222222222)</f>
        <v>0.51597222222222205</v>
      </c>
      <c r="R103" t="str">
        <f ca="1">IFERROR(__xludf.DUMMYFUNCTION("""COMPUTED_VALUE"""),"B")</f>
        <v>B</v>
      </c>
      <c r="S103" s="158">
        <f ca="1">IFERROR(__xludf.DUMMYFUNCTION("""COMPUTED_VALUE"""),0.554166666666666)</f>
        <v>0.55416666666666603</v>
      </c>
      <c r="T103" t="str">
        <f ca="1">IFERROR(__xludf.DUMMYFUNCTION("""COMPUTED_VALUE"""),"B")</f>
        <v>B</v>
      </c>
      <c r="U103" t="str">
        <f ca="1">IFERROR(__xludf.DUMMYFUNCTION("""COMPUTED_VALUE"""),"")</f>
        <v/>
      </c>
      <c r="V103" t="str">
        <f ca="1">IFERROR(__xludf.DUMMYFUNCTION("""COMPUTED_VALUE"""),"")</f>
        <v/>
      </c>
      <c r="W103" t="str">
        <f ca="1">IFERROR(__xludf.DUMMYFUNCTION("""COMPUTED_VALUE"""),"")</f>
        <v/>
      </c>
      <c r="X103" t="str">
        <f ca="1">IFERROR(__xludf.DUMMYFUNCTION("""COMPUTED_VALUE"""),"")</f>
        <v/>
      </c>
      <c r="Y103" t="str">
        <f ca="1">IFERROR(__xludf.DUMMYFUNCTION("""COMPUTED_VALUE"""),"ZŠ")</f>
        <v>ZŠ</v>
      </c>
      <c r="Z103" s="158" t="b">
        <f ca="1">IFERROR(__xludf.DUMMYFUNCTION("""COMPUTED_VALUE"""),FALSE)</f>
        <v>0</v>
      </c>
      <c r="AA103" t="b">
        <f ca="1">IFERROR(__xludf.DUMMYFUNCTION("""COMPUTED_VALUE"""),FALSE)</f>
        <v>0</v>
      </c>
      <c r="AB103" t="b">
        <f ca="1">IFERROR(__xludf.DUMMYFUNCTION("""COMPUTED_VALUE"""),TRUE)</f>
        <v>1</v>
      </c>
      <c r="AC103" t="b">
        <f ca="1">IFERROR(__xludf.DUMMYFUNCTION("""COMPUTED_VALUE"""),TRUE)</f>
        <v>1</v>
      </c>
      <c r="AD103" t="b">
        <f ca="1">IFERROR(__xludf.DUMMYFUNCTION("""COMPUTED_VALUE"""),FALSE)</f>
        <v>0</v>
      </c>
      <c r="AE103" t="b">
        <f ca="1">IFERROR(__xludf.DUMMYFUNCTION("""COMPUTED_VALUE"""),FALSE)</f>
        <v>0</v>
      </c>
      <c r="AF103" t="b">
        <f ca="1">IFERROR(__xludf.DUMMYFUNCTION("""COMPUTED_VALUE"""),FALSE)</f>
        <v>0</v>
      </c>
      <c r="AG103" t="str">
        <f ca="1">IFERROR(__xludf.DUMMYFUNCTION("""COMPUTED_VALUE"""),"Dálkový medvěd (bear rescue), Sprint - LEGO (drag race - Lego)")</f>
        <v>Dálkový medvěd (bear rescue), Sprint - LEGO (drag race - Lego)</v>
      </c>
    </row>
    <row r="104" spans="1:33" ht="13.2">
      <c r="A104">
        <f ca="1">IFERROR(__xludf.DUMMYFUNCTION("""COMPUTED_VALUE"""),107)</f>
        <v>107</v>
      </c>
      <c r="B104" t="str">
        <f ca="1">IFERROR(__xludf.DUMMYFUNCTION("""COMPUTED_VALUE"""),"Opava")</f>
        <v>Opava</v>
      </c>
      <c r="C104" t="str">
        <f ca="1">IFERROR(__xludf.DUMMYFUNCTION("""COMPUTED_VALUE"""),"SVČ Opava")</f>
        <v>SVČ Opava</v>
      </c>
      <c r="D104" t="str">
        <f ca="1">IFERROR(__xludf.DUMMYFUNCTION("""COMPUTED_VALUE"""),"projekt Theodor")</f>
        <v>projekt Theodor</v>
      </c>
      <c r="E104" s="158">
        <f ca="1">IFERROR(__xludf.DUMMYFUNCTION("""COMPUTED_VALUE"""),0.434027777777777)</f>
        <v>0.43402777777777701</v>
      </c>
      <c r="F104" t="str">
        <f ca="1">IFERROR(__xludf.DUMMYFUNCTION("""COMPUTED_VALUE"""),"B")</f>
        <v>B</v>
      </c>
      <c r="G104" s="158">
        <f ca="1">IFERROR(__xludf.DUMMYFUNCTION("""COMPUTED_VALUE"""),0.504166666666666)</f>
        <v>0.50416666666666599</v>
      </c>
      <c r="H104" t="str">
        <f ca="1">IFERROR(__xludf.DUMMYFUNCTION("""COMPUTED_VALUE"""),"B")</f>
        <v>B</v>
      </c>
      <c r="I104" s="158">
        <f ca="1">IFERROR(__xludf.DUMMYFUNCTION("""COMPUTED_VALUE"""),0.579166666666666)</f>
        <v>0.57916666666666605</v>
      </c>
      <c r="J104" t="str">
        <f ca="1">IFERROR(__xludf.DUMMYFUNCTION("""COMPUTED_VALUE"""),"B")</f>
        <v>B</v>
      </c>
      <c r="K104" t="str">
        <f ca="1">IFERROR(__xludf.DUMMYFUNCTION("""COMPUTED_VALUE"""),"")</f>
        <v/>
      </c>
      <c r="L104" t="str">
        <f ca="1">IFERROR(__xludf.DUMMYFUNCTION("""COMPUTED_VALUE"""),"")</f>
        <v/>
      </c>
      <c r="M104" t="str">
        <f ca="1">IFERROR(__xludf.DUMMYFUNCTION("""COMPUTED_VALUE"""),"")</f>
        <v/>
      </c>
      <c r="N104" t="str">
        <f ca="1">IFERROR(__xludf.DUMMYFUNCTION("""COMPUTED_VALUE"""),"")</f>
        <v/>
      </c>
      <c r="O104" t="str">
        <f ca="1">IFERROR(__xludf.DUMMYFUNCTION("""COMPUTED_VALUE"""),"")</f>
        <v/>
      </c>
      <c r="P104" t="str">
        <f ca="1">IFERROR(__xludf.DUMMYFUNCTION("""COMPUTED_VALUE"""),"")</f>
        <v/>
      </c>
      <c r="Q104" s="158">
        <f ca="1">IFERROR(__xludf.DUMMYFUNCTION("""COMPUTED_VALUE"""),0.516666666666666)</f>
        <v>0.51666666666666605</v>
      </c>
      <c r="R104" t="str">
        <f ca="1">IFERROR(__xludf.DUMMYFUNCTION("""COMPUTED_VALUE"""),"A")</f>
        <v>A</v>
      </c>
      <c r="S104" s="158">
        <f ca="1">IFERROR(__xludf.DUMMYFUNCTION("""COMPUTED_VALUE"""),0.554861111111111)</f>
        <v>0.55486111111111103</v>
      </c>
      <c r="T104" t="str">
        <f ca="1">IFERROR(__xludf.DUMMYFUNCTION("""COMPUTED_VALUE"""),"A")</f>
        <v>A</v>
      </c>
      <c r="U104" t="str">
        <f ca="1">IFERROR(__xludf.DUMMYFUNCTION("""COMPUTED_VALUE"""),"")</f>
        <v/>
      </c>
      <c r="V104" t="str">
        <f ca="1">IFERROR(__xludf.DUMMYFUNCTION("""COMPUTED_VALUE"""),"")</f>
        <v/>
      </c>
      <c r="W104" t="str">
        <f ca="1">IFERROR(__xludf.DUMMYFUNCTION("""COMPUTED_VALUE"""),"")</f>
        <v/>
      </c>
      <c r="X104" t="str">
        <f ca="1">IFERROR(__xludf.DUMMYFUNCTION("""COMPUTED_VALUE"""),"")</f>
        <v/>
      </c>
      <c r="Y104" t="str">
        <f ca="1">IFERROR(__xludf.DUMMYFUNCTION("""COMPUTED_VALUE"""),"ZŠ")</f>
        <v>ZŠ</v>
      </c>
      <c r="Z104" t="b">
        <f ca="1">IFERROR(__xludf.DUMMYFUNCTION("""COMPUTED_VALUE"""),TRUE)</f>
        <v>1</v>
      </c>
      <c r="AA104" t="b">
        <f ca="1">IFERROR(__xludf.DUMMYFUNCTION("""COMPUTED_VALUE"""),FALSE)</f>
        <v>0</v>
      </c>
      <c r="AB104" t="b">
        <f ca="1">IFERROR(__xludf.DUMMYFUNCTION("""COMPUTED_VALUE"""),FALSE)</f>
        <v>0</v>
      </c>
      <c r="AC104" t="b">
        <f ca="1">IFERROR(__xludf.DUMMYFUNCTION("""COMPUTED_VALUE"""),TRUE)</f>
        <v>1</v>
      </c>
      <c r="AD104" t="b">
        <f ca="1">IFERROR(__xludf.DUMMYFUNCTION("""COMPUTED_VALUE"""),FALSE)</f>
        <v>0</v>
      </c>
      <c r="AE104" t="b">
        <f ca="1">IFERROR(__xludf.DUMMYFUNCTION("""COMPUTED_VALUE"""),FALSE)</f>
        <v>0</v>
      </c>
      <c r="AF104" t="b">
        <f ca="1">IFERROR(__xludf.DUMMYFUNCTION("""COMPUTED_VALUE"""),FALSE)</f>
        <v>0</v>
      </c>
      <c r="AG104" t="str">
        <f ca="1">IFERROR(__xludf.DUMMYFUNCTION("""COMPUTED_VALUE"""),"Čára (line follower), Sprint - LEGO (drag race - Lego)")</f>
        <v>Čára (line follower), Sprint - LEGO (drag race - Lego)</v>
      </c>
    </row>
    <row r="105" spans="1:33" ht="13.2">
      <c r="A105">
        <f ca="1">IFERROR(__xludf.DUMMYFUNCTION("""COMPUTED_VALUE"""),108)</f>
        <v>108</v>
      </c>
      <c r="B105" t="str">
        <f ca="1">IFERROR(__xludf.DUMMYFUNCTION("""COMPUTED_VALUE"""),"Praha")</f>
        <v>Praha</v>
      </c>
      <c r="C105" t="str">
        <f ca="1">IFERROR(__xludf.DUMMYFUNCTION("""COMPUTED_VALUE"""),"DDM Praha 6")</f>
        <v>DDM Praha 6</v>
      </c>
      <c r="D105" t="str">
        <f ca="1">IFERROR(__xludf.DUMMYFUNCTION("""COMPUTED_VALUE"""),"ghnxšp")</f>
        <v>ghnxšp</v>
      </c>
      <c r="E105" t="str">
        <f ca="1">IFERROR(__xludf.DUMMYFUNCTION("""COMPUTED_VALUE"""),"---")</f>
        <v>---</v>
      </c>
      <c r="F105" t="str">
        <f ca="1">IFERROR(__xludf.DUMMYFUNCTION("""COMPUTED_VALUE"""),"")</f>
        <v/>
      </c>
      <c r="G105" t="str">
        <f ca="1">IFERROR(__xludf.DUMMYFUNCTION("""COMPUTED_VALUE"""),"---")</f>
        <v>---</v>
      </c>
      <c r="H105" t="str">
        <f ca="1">IFERROR(__xludf.DUMMYFUNCTION("""COMPUTED_VALUE"""),"")</f>
        <v/>
      </c>
      <c r="I105" t="str">
        <f ca="1">IFERROR(__xludf.DUMMYFUNCTION("""COMPUTED_VALUE"""),"---")</f>
        <v>---</v>
      </c>
      <c r="J105" t="str">
        <f ca="1">IFERROR(__xludf.DUMMYFUNCTION("""COMPUTED_VALUE"""),"")</f>
        <v/>
      </c>
      <c r="K105" t="str">
        <f ca="1">IFERROR(__xludf.DUMMYFUNCTION("""COMPUTED_VALUE"""),"")</f>
        <v/>
      </c>
      <c r="L105" t="str">
        <f ca="1">IFERROR(__xludf.DUMMYFUNCTION("""COMPUTED_VALUE"""),"")</f>
        <v/>
      </c>
      <c r="M105" t="str">
        <f ca="1">IFERROR(__xludf.DUMMYFUNCTION("""COMPUTED_VALUE"""),"")</f>
        <v/>
      </c>
      <c r="N105" t="str">
        <f ca="1">IFERROR(__xludf.DUMMYFUNCTION("""COMPUTED_VALUE"""),"")</f>
        <v/>
      </c>
      <c r="O105" t="str">
        <f ca="1">IFERROR(__xludf.DUMMYFUNCTION("""COMPUTED_VALUE"""),"")</f>
        <v/>
      </c>
      <c r="P105" t="str">
        <f ca="1">IFERROR(__xludf.DUMMYFUNCTION("""COMPUTED_VALUE"""),"")</f>
        <v/>
      </c>
      <c r="Q105" s="158">
        <f ca="1">IFERROR(__xludf.DUMMYFUNCTION("""COMPUTED_VALUE"""),0.516666666666666)</f>
        <v>0.51666666666666605</v>
      </c>
      <c r="R105" t="str">
        <f ca="1">IFERROR(__xludf.DUMMYFUNCTION("""COMPUTED_VALUE"""),"B")</f>
        <v>B</v>
      </c>
      <c r="S105" s="158">
        <f ca="1">IFERROR(__xludf.DUMMYFUNCTION("""COMPUTED_VALUE"""),0.554861111111111)</f>
        <v>0.55486111111111103</v>
      </c>
      <c r="T105" t="str">
        <f ca="1">IFERROR(__xludf.DUMMYFUNCTION("""COMPUTED_VALUE"""),"B")</f>
        <v>B</v>
      </c>
      <c r="U105" t="str">
        <f ca="1">IFERROR(__xludf.DUMMYFUNCTION("""COMPUTED_VALUE"""),"")</f>
        <v/>
      </c>
      <c r="V105" t="str">
        <f ca="1">IFERROR(__xludf.DUMMYFUNCTION("""COMPUTED_VALUE"""),"")</f>
        <v/>
      </c>
      <c r="W105" t="str">
        <f ca="1">IFERROR(__xludf.DUMMYFUNCTION("""COMPUTED_VALUE"""),"")</f>
        <v/>
      </c>
      <c r="X105" t="str">
        <f ca="1">IFERROR(__xludf.DUMMYFUNCTION("""COMPUTED_VALUE"""),"")</f>
        <v/>
      </c>
      <c r="Y105" t="str">
        <f ca="1">IFERROR(__xludf.DUMMYFUNCTION("""COMPUTED_VALUE"""),"ZŠ")</f>
        <v>ZŠ</v>
      </c>
      <c r="Z105" s="158" t="b">
        <f ca="1">IFERROR(__xludf.DUMMYFUNCTION("""COMPUTED_VALUE"""),FALSE)</f>
        <v>0</v>
      </c>
      <c r="AA105" t="b">
        <f ca="1">IFERROR(__xludf.DUMMYFUNCTION("""COMPUTED_VALUE"""),FALSE)</f>
        <v>0</v>
      </c>
      <c r="AB105" t="b">
        <f ca="1">IFERROR(__xludf.DUMMYFUNCTION("""COMPUTED_VALUE"""),FALSE)</f>
        <v>0</v>
      </c>
      <c r="AC105" t="b">
        <f ca="1">IFERROR(__xludf.DUMMYFUNCTION("""COMPUTED_VALUE"""),TRUE)</f>
        <v>1</v>
      </c>
      <c r="AD105" t="b">
        <f ca="1">IFERROR(__xludf.DUMMYFUNCTION("""COMPUTED_VALUE"""),FALSE)</f>
        <v>0</v>
      </c>
      <c r="AE105" t="b">
        <f ca="1">IFERROR(__xludf.DUMMYFUNCTION("""COMPUTED_VALUE"""),FALSE)</f>
        <v>0</v>
      </c>
      <c r="AF105" t="b">
        <f ca="1">IFERROR(__xludf.DUMMYFUNCTION("""COMPUTED_VALUE"""),FALSE)</f>
        <v>0</v>
      </c>
      <c r="AG105" t="str">
        <f ca="1">IFERROR(__xludf.DUMMYFUNCTION("""COMPUTED_VALUE"""),"Sprint - LEGO (drag race - Lego)")</f>
        <v>Sprint - LEGO (drag race - Lego)</v>
      </c>
    </row>
    <row r="106" spans="1:33" ht="13.2">
      <c r="A106">
        <f ca="1">IFERROR(__xludf.DUMMYFUNCTION("""COMPUTED_VALUE"""),109)</f>
        <v>109</v>
      </c>
      <c r="B106" t="str">
        <f ca="1">IFERROR(__xludf.DUMMYFUNCTION("""COMPUTED_VALUE"""),"Praha")</f>
        <v>Praha</v>
      </c>
      <c r="C106" t="str">
        <f ca="1">IFERROR(__xludf.DUMMYFUNCTION("""COMPUTED_VALUE"""),"DDM Praha 6")</f>
        <v>DDM Praha 6</v>
      </c>
      <c r="D106" t="str">
        <f ca="1">IFERROR(__xludf.DUMMYFUNCTION("""COMPUTED_VALUE"""),"Oh'Reilly")</f>
        <v>Oh'Reilly</v>
      </c>
      <c r="E106" t="str">
        <f ca="1">IFERROR(__xludf.DUMMYFUNCTION("""COMPUTED_VALUE"""),"---")</f>
        <v>---</v>
      </c>
      <c r="F106" t="str">
        <f ca="1">IFERROR(__xludf.DUMMYFUNCTION("""COMPUTED_VALUE"""),"")</f>
        <v/>
      </c>
      <c r="G106" t="str">
        <f ca="1">IFERROR(__xludf.DUMMYFUNCTION("""COMPUTED_VALUE"""),"---")</f>
        <v>---</v>
      </c>
      <c r="H106" t="str">
        <f ca="1">IFERROR(__xludf.DUMMYFUNCTION("""COMPUTED_VALUE"""),"")</f>
        <v/>
      </c>
      <c r="I106" t="str">
        <f ca="1">IFERROR(__xludf.DUMMYFUNCTION("""COMPUTED_VALUE"""),"---")</f>
        <v>---</v>
      </c>
      <c r="J106" t="str">
        <f ca="1">IFERROR(__xludf.DUMMYFUNCTION("""COMPUTED_VALUE"""),"")</f>
        <v/>
      </c>
      <c r="K106" t="str">
        <f ca="1">IFERROR(__xludf.DUMMYFUNCTION("""COMPUTED_VALUE"""),"")</f>
        <v/>
      </c>
      <c r="L106" t="str">
        <f ca="1">IFERROR(__xludf.DUMMYFUNCTION("""COMPUTED_VALUE"""),"")</f>
        <v/>
      </c>
      <c r="M106" t="str">
        <f ca="1">IFERROR(__xludf.DUMMYFUNCTION("""COMPUTED_VALUE"""),"")</f>
        <v/>
      </c>
      <c r="N106" t="str">
        <f ca="1">IFERROR(__xludf.DUMMYFUNCTION("""COMPUTED_VALUE"""),"")</f>
        <v/>
      </c>
      <c r="O106" t="str">
        <f ca="1">IFERROR(__xludf.DUMMYFUNCTION("""COMPUTED_VALUE"""),"")</f>
        <v/>
      </c>
      <c r="P106" t="str">
        <f ca="1">IFERROR(__xludf.DUMMYFUNCTION("""COMPUTED_VALUE"""),"")</f>
        <v/>
      </c>
      <c r="Q106" s="158">
        <f ca="1">IFERROR(__xludf.DUMMYFUNCTION("""COMPUTED_VALUE"""),0.517361111111111)</f>
        <v>0.51736111111111105</v>
      </c>
      <c r="R106" t="str">
        <f ca="1">IFERROR(__xludf.DUMMYFUNCTION("""COMPUTED_VALUE"""),"A")</f>
        <v>A</v>
      </c>
      <c r="S106" s="158">
        <f ca="1">IFERROR(__xludf.DUMMYFUNCTION("""COMPUTED_VALUE"""),0.555555555555555)</f>
        <v>0.55555555555555503</v>
      </c>
      <c r="T106" t="str">
        <f ca="1">IFERROR(__xludf.DUMMYFUNCTION("""COMPUTED_VALUE"""),"A")</f>
        <v>A</v>
      </c>
      <c r="U106" t="str">
        <f ca="1">IFERROR(__xludf.DUMMYFUNCTION("""COMPUTED_VALUE"""),"")</f>
        <v/>
      </c>
      <c r="V106" t="str">
        <f ca="1">IFERROR(__xludf.DUMMYFUNCTION("""COMPUTED_VALUE"""),"")</f>
        <v/>
      </c>
      <c r="W106" t="str">
        <f ca="1">IFERROR(__xludf.DUMMYFUNCTION("""COMPUTED_VALUE"""),"")</f>
        <v/>
      </c>
      <c r="X106" t="str">
        <f ca="1">IFERROR(__xludf.DUMMYFUNCTION("""COMPUTED_VALUE"""),"")</f>
        <v/>
      </c>
      <c r="Y106" t="str">
        <f ca="1">IFERROR(__xludf.DUMMYFUNCTION("""COMPUTED_VALUE"""),"ZŠ")</f>
        <v>ZŠ</v>
      </c>
      <c r="Z106" s="158" t="b">
        <f ca="1">IFERROR(__xludf.DUMMYFUNCTION("""COMPUTED_VALUE"""),FALSE)</f>
        <v>0</v>
      </c>
      <c r="AA106" t="b">
        <f ca="1">IFERROR(__xludf.DUMMYFUNCTION("""COMPUTED_VALUE"""),FALSE)</f>
        <v>0</v>
      </c>
      <c r="AB106" t="b">
        <f ca="1">IFERROR(__xludf.DUMMYFUNCTION("""COMPUTED_VALUE"""),FALSE)</f>
        <v>0</v>
      </c>
      <c r="AC106" t="b">
        <f ca="1">IFERROR(__xludf.DUMMYFUNCTION("""COMPUTED_VALUE"""),TRUE)</f>
        <v>1</v>
      </c>
      <c r="AD106" t="b">
        <f ca="1">IFERROR(__xludf.DUMMYFUNCTION("""COMPUTED_VALUE"""),FALSE)</f>
        <v>0</v>
      </c>
      <c r="AE106" t="b">
        <f ca="1">IFERROR(__xludf.DUMMYFUNCTION("""COMPUTED_VALUE"""),FALSE)</f>
        <v>0</v>
      </c>
      <c r="AF106" t="b">
        <f ca="1">IFERROR(__xludf.DUMMYFUNCTION("""COMPUTED_VALUE"""),FALSE)</f>
        <v>0</v>
      </c>
      <c r="AG106" t="str">
        <f ca="1">IFERROR(__xludf.DUMMYFUNCTION("""COMPUTED_VALUE"""),"Sprint - LEGO (drag race - Lego)")</f>
        <v>Sprint - LEGO (drag race - Lego)</v>
      </c>
    </row>
    <row r="107" spans="1:33" ht="13.2">
      <c r="A107">
        <f ca="1">IFERROR(__xludf.DUMMYFUNCTION("""COMPUTED_VALUE"""),110)</f>
        <v>110</v>
      </c>
      <c r="B107" t="str">
        <f ca="1">IFERROR(__xludf.DUMMYFUNCTION("""COMPUTED_VALUE"""),"Partizánske")</f>
        <v>Partizánske</v>
      </c>
      <c r="C107" t="str">
        <f ca="1">IFERROR(__xludf.DUMMYFUNCTION("""COMPUTED_VALUE"""),"Amavet klub č.808 Partizánske")</f>
        <v>Amavet klub č.808 Partizánske</v>
      </c>
      <c r="D107" t="str">
        <f ca="1">IFERROR(__xludf.DUMMYFUNCTION("""COMPUTED_VALUE"""),"Partizáni")</f>
        <v>Partizáni</v>
      </c>
      <c r="E107" t="str">
        <f ca="1">IFERROR(__xludf.DUMMYFUNCTION("""COMPUTED_VALUE"""),"---")</f>
        <v>---</v>
      </c>
      <c r="F107" t="str">
        <f ca="1">IFERROR(__xludf.DUMMYFUNCTION("""COMPUTED_VALUE"""),"")</f>
        <v/>
      </c>
      <c r="G107" t="str">
        <f ca="1">IFERROR(__xludf.DUMMYFUNCTION("""COMPUTED_VALUE"""),"---")</f>
        <v>---</v>
      </c>
      <c r="H107" t="str">
        <f ca="1">IFERROR(__xludf.DUMMYFUNCTION("""COMPUTED_VALUE"""),"")</f>
        <v/>
      </c>
      <c r="I107" t="str">
        <f ca="1">IFERROR(__xludf.DUMMYFUNCTION("""COMPUTED_VALUE"""),"---")</f>
        <v>---</v>
      </c>
      <c r="J107" t="str">
        <f ca="1">IFERROR(__xludf.DUMMYFUNCTION("""COMPUTED_VALUE"""),"")</f>
        <v/>
      </c>
      <c r="K107" t="str">
        <f ca="1">IFERROR(__xludf.DUMMYFUNCTION("""COMPUTED_VALUE"""),"")</f>
        <v/>
      </c>
      <c r="L107" t="str">
        <f ca="1">IFERROR(__xludf.DUMMYFUNCTION("""COMPUTED_VALUE"""),"")</f>
        <v/>
      </c>
      <c r="M107" t="str">
        <f ca="1">IFERROR(__xludf.DUMMYFUNCTION("""COMPUTED_VALUE"""),"")</f>
        <v/>
      </c>
      <c r="N107" t="str">
        <f ca="1">IFERROR(__xludf.DUMMYFUNCTION("""COMPUTED_VALUE"""),"")</f>
        <v/>
      </c>
      <c r="O107" s="158">
        <f ca="1">IFERROR(__xludf.DUMMYFUNCTION("""COMPUTED_VALUE"""),0.494444444444444)</f>
        <v>0.49444444444444402</v>
      </c>
      <c r="P107" t="str">
        <f ca="1">IFERROR(__xludf.DUMMYFUNCTION("""COMPUTED_VALUE"""),"A")</f>
        <v>A</v>
      </c>
      <c r="Q107" t="str">
        <f ca="1">IFERROR(__xludf.DUMMYFUNCTION("""COMPUTED_VALUE"""),"")</f>
        <v/>
      </c>
      <c r="R107" t="str">
        <f ca="1">IFERROR(__xludf.DUMMYFUNCTION("""COMPUTED_VALUE"""),"")</f>
        <v/>
      </c>
      <c r="S107" t="str">
        <f ca="1">IFERROR(__xludf.DUMMYFUNCTION("""COMPUTED_VALUE"""),"")</f>
        <v/>
      </c>
      <c r="T107" t="str">
        <f ca="1">IFERROR(__xludf.DUMMYFUNCTION("""COMPUTED_VALUE"""),"")</f>
        <v/>
      </c>
      <c r="U107" t="str">
        <f ca="1">IFERROR(__xludf.DUMMYFUNCTION("""COMPUTED_VALUE"""),"")</f>
        <v/>
      </c>
      <c r="V107" t="str">
        <f ca="1">IFERROR(__xludf.DUMMYFUNCTION("""COMPUTED_VALUE"""),"")</f>
        <v/>
      </c>
      <c r="W107" t="str">
        <f ca="1">IFERROR(__xludf.DUMMYFUNCTION("""COMPUTED_VALUE"""),"")</f>
        <v/>
      </c>
      <c r="X107" t="str">
        <f ca="1">IFERROR(__xludf.DUMMYFUNCTION("""COMPUTED_VALUE"""),"")</f>
        <v/>
      </c>
      <c r="Y107" t="str">
        <f ca="1">IFERROR(__xludf.DUMMYFUNCTION("""COMPUTED_VALUE"""),"SŠ")</f>
        <v>SŠ</v>
      </c>
      <c r="Z107" s="158" t="b">
        <f ca="1">IFERROR(__xludf.DUMMYFUNCTION("""COMPUTED_VALUE"""),FALSE)</f>
        <v>0</v>
      </c>
      <c r="AA107" t="b">
        <f ca="1">IFERROR(__xludf.DUMMYFUNCTION("""COMPUTED_VALUE"""),FALSE)</f>
        <v>0</v>
      </c>
      <c r="AB107" t="b">
        <f ca="1">IFERROR(__xludf.DUMMYFUNCTION("""COMPUTED_VALUE"""),TRUE)</f>
        <v>1</v>
      </c>
      <c r="AC107" t="b">
        <f ca="1">IFERROR(__xludf.DUMMYFUNCTION("""COMPUTED_VALUE"""),FALSE)</f>
        <v>0</v>
      </c>
      <c r="AD107" t="b">
        <f ca="1">IFERROR(__xludf.DUMMYFUNCTION("""COMPUTED_VALUE"""),FALSE)</f>
        <v>0</v>
      </c>
      <c r="AE107" t="b">
        <f ca="1">IFERROR(__xludf.DUMMYFUNCTION("""COMPUTED_VALUE"""),TRUE)</f>
        <v>1</v>
      </c>
      <c r="AF107" t="b">
        <f ca="1">IFERROR(__xludf.DUMMYFUNCTION("""COMPUTED_VALUE"""),FALSE)</f>
        <v>0</v>
      </c>
      <c r="AG107" t="str">
        <f ca="1">IFERROR(__xludf.DUMMYFUNCTION("""COMPUTED_VALUE"""),"Dálkový medvěd (bear rescue), Freestyle")</f>
        <v>Dálkový medvěd (bear rescue), Freestyle</v>
      </c>
    </row>
    <row r="108" spans="1:33" ht="13.2">
      <c r="A108">
        <f ca="1">IFERROR(__xludf.DUMMYFUNCTION("""COMPUTED_VALUE"""),111)</f>
        <v>111</v>
      </c>
      <c r="B108" t="str">
        <f ca="1">IFERROR(__xludf.DUMMYFUNCTION("""COMPUTED_VALUE"""),"Hradec Králové")</f>
        <v>Hradec Králové</v>
      </c>
      <c r="C108" t="str">
        <f ca="1">IFERROR(__xludf.DUMMYFUNCTION("""COMPUTED_VALUE"""),"Biskupské gymnázium Hradec Králové")</f>
        <v>Biskupské gymnázium Hradec Králové</v>
      </c>
      <c r="D108" t="str">
        <f ca="1">IFERROR(__xludf.DUMMYFUNCTION("""COMPUTED_VALUE"""),"Čočkoboti")</f>
        <v>Čočkoboti</v>
      </c>
      <c r="E108" s="158">
        <f ca="1">IFERROR(__xludf.DUMMYFUNCTION("""COMPUTED_VALUE"""),0.434027777777777)</f>
        <v>0.43402777777777701</v>
      </c>
      <c r="F108" t="str">
        <f ca="1">IFERROR(__xludf.DUMMYFUNCTION("""COMPUTED_VALUE"""),"A")</f>
        <v>A</v>
      </c>
      <c r="G108" s="158">
        <f ca="1">IFERROR(__xludf.DUMMYFUNCTION("""COMPUTED_VALUE"""),0.504166666666666)</f>
        <v>0.50416666666666599</v>
      </c>
      <c r="H108" t="str">
        <f ca="1">IFERROR(__xludf.DUMMYFUNCTION("""COMPUTED_VALUE"""),"A")</f>
        <v>A</v>
      </c>
      <c r="I108" s="158">
        <f ca="1">IFERROR(__xludf.DUMMYFUNCTION("""COMPUTED_VALUE"""),0.579166666666666)</f>
        <v>0.57916666666666605</v>
      </c>
      <c r="J108" t="str">
        <f ca="1">IFERROR(__xludf.DUMMYFUNCTION("""COMPUTED_VALUE"""),"A")</f>
        <v>A</v>
      </c>
      <c r="K108" t="str">
        <f ca="1">IFERROR(__xludf.DUMMYFUNCTION("""COMPUTED_VALUE"""),"")</f>
        <v/>
      </c>
      <c r="L108" t="str">
        <f ca="1">IFERROR(__xludf.DUMMYFUNCTION("""COMPUTED_VALUE"""),"")</f>
        <v/>
      </c>
      <c r="M108" t="str">
        <f ca="1">IFERROR(__xludf.DUMMYFUNCTION("""COMPUTED_VALUE"""),"")</f>
        <v/>
      </c>
      <c r="N108" t="str">
        <f ca="1">IFERROR(__xludf.DUMMYFUNCTION("""COMPUTED_VALUE"""),"")</f>
        <v/>
      </c>
      <c r="O108" t="str">
        <f ca="1">IFERROR(__xludf.DUMMYFUNCTION("""COMPUTED_VALUE"""),"")</f>
        <v/>
      </c>
      <c r="P108" t="str">
        <f ca="1">IFERROR(__xludf.DUMMYFUNCTION("""COMPUTED_VALUE"""),"")</f>
        <v/>
      </c>
      <c r="Q108" s="158">
        <f ca="1">IFERROR(__xludf.DUMMYFUNCTION("""COMPUTED_VALUE"""),0.517361111111111)</f>
        <v>0.51736111111111105</v>
      </c>
      <c r="R108" t="str">
        <f ca="1">IFERROR(__xludf.DUMMYFUNCTION("""COMPUTED_VALUE"""),"B")</f>
        <v>B</v>
      </c>
      <c r="S108" s="158">
        <f ca="1">IFERROR(__xludf.DUMMYFUNCTION("""COMPUTED_VALUE"""),0.555555555555555)</f>
        <v>0.55555555555555503</v>
      </c>
      <c r="T108" t="str">
        <f ca="1">IFERROR(__xludf.DUMMYFUNCTION("""COMPUTED_VALUE"""),"B")</f>
        <v>B</v>
      </c>
      <c r="U108" t="str">
        <f ca="1">IFERROR(__xludf.DUMMYFUNCTION("""COMPUTED_VALUE"""),"")</f>
        <v/>
      </c>
      <c r="V108" t="str">
        <f ca="1">IFERROR(__xludf.DUMMYFUNCTION("""COMPUTED_VALUE"""),"")</f>
        <v/>
      </c>
      <c r="W108" t="str">
        <f ca="1">IFERROR(__xludf.DUMMYFUNCTION("""COMPUTED_VALUE"""),"")</f>
        <v/>
      </c>
      <c r="X108" t="str">
        <f ca="1">IFERROR(__xludf.DUMMYFUNCTION("""COMPUTED_VALUE"""),"")</f>
        <v/>
      </c>
      <c r="Y108" t="str">
        <f ca="1">IFERROR(__xludf.DUMMYFUNCTION("""COMPUTED_VALUE"""),"ZŠ")</f>
        <v>ZŠ</v>
      </c>
      <c r="Z108" t="b">
        <f ca="1">IFERROR(__xludf.DUMMYFUNCTION("""COMPUTED_VALUE"""),TRUE)</f>
        <v>1</v>
      </c>
      <c r="AA108" t="b">
        <f ca="1">IFERROR(__xludf.DUMMYFUNCTION("""COMPUTED_VALUE"""),FALSE)</f>
        <v>0</v>
      </c>
      <c r="AB108" t="b">
        <f ca="1">IFERROR(__xludf.DUMMYFUNCTION("""COMPUTED_VALUE"""),FALSE)</f>
        <v>0</v>
      </c>
      <c r="AC108" t="b">
        <f ca="1">IFERROR(__xludf.DUMMYFUNCTION("""COMPUTED_VALUE"""),TRUE)</f>
        <v>1</v>
      </c>
      <c r="AD108" t="b">
        <f ca="1">IFERROR(__xludf.DUMMYFUNCTION("""COMPUTED_VALUE"""),FALSE)</f>
        <v>0</v>
      </c>
      <c r="AE108" t="b">
        <f ca="1">IFERROR(__xludf.DUMMYFUNCTION("""COMPUTED_VALUE"""),FALSE)</f>
        <v>0</v>
      </c>
      <c r="AF108" t="b">
        <f ca="1">IFERROR(__xludf.DUMMYFUNCTION("""COMPUTED_VALUE"""),FALSE)</f>
        <v>0</v>
      </c>
      <c r="AG108" t="str">
        <f ca="1">IFERROR(__xludf.DUMMYFUNCTION("""COMPUTED_VALUE"""),"Čára (line follower), Sprint - LEGO (drag race - Lego)")</f>
        <v>Čára (line follower), Sprint - LEGO (drag race - Lego)</v>
      </c>
    </row>
    <row r="109" spans="1:33" ht="13.2">
      <c r="A109">
        <f ca="1">IFERROR(__xludf.DUMMYFUNCTION("""COMPUTED_VALUE"""),112)</f>
        <v>112</v>
      </c>
      <c r="B109" t="str">
        <f ca="1">IFERROR(__xludf.DUMMYFUNCTION("""COMPUTED_VALUE"""),"Plzeň")</f>
        <v>Plzeň</v>
      </c>
      <c r="C109" t="str">
        <f ca="1">IFERROR(__xludf.DUMMYFUNCTION("""COMPUTED_VALUE"""),"Centrum robotiky Plzeň ")</f>
        <v xml:space="preserve">Centrum robotiky Plzeň </v>
      </c>
      <c r="D109" t="str">
        <f ca="1">IFERROR(__xludf.DUMMYFUNCTION("""COMPUTED_VALUE"""),"CRobot")</f>
        <v>CRobot</v>
      </c>
      <c r="E109" s="158">
        <f ca="1">IFERROR(__xludf.DUMMYFUNCTION("""COMPUTED_VALUE"""),0.435416666666666)</f>
        <v>0.43541666666666601</v>
      </c>
      <c r="F109" t="str">
        <f ca="1">IFERROR(__xludf.DUMMYFUNCTION("""COMPUTED_VALUE"""),"B")</f>
        <v>B</v>
      </c>
      <c r="G109" s="158">
        <f ca="1">IFERROR(__xludf.DUMMYFUNCTION("""COMPUTED_VALUE"""),0.505555555555555)</f>
        <v>0.50555555555555498</v>
      </c>
      <c r="H109" t="str">
        <f ca="1">IFERROR(__xludf.DUMMYFUNCTION("""COMPUTED_VALUE"""),"B")</f>
        <v>B</v>
      </c>
      <c r="I109" s="158">
        <f ca="1">IFERROR(__xludf.DUMMYFUNCTION("""COMPUTED_VALUE"""),0.580555555555555)</f>
        <v>0.58055555555555505</v>
      </c>
      <c r="J109" t="str">
        <f ca="1">IFERROR(__xludf.DUMMYFUNCTION("""COMPUTED_VALUE"""),"B")</f>
        <v>B</v>
      </c>
      <c r="K109" t="str">
        <f ca="1">IFERROR(__xludf.DUMMYFUNCTION("""COMPUTED_VALUE"""),"")</f>
        <v/>
      </c>
      <c r="L109" t="str">
        <f ca="1">IFERROR(__xludf.DUMMYFUNCTION("""COMPUTED_VALUE"""),"")</f>
        <v/>
      </c>
      <c r="M109" t="str">
        <f ca="1">IFERROR(__xludf.DUMMYFUNCTION("""COMPUTED_VALUE"""),"")</f>
        <v/>
      </c>
      <c r="N109" t="str">
        <f ca="1">IFERROR(__xludf.DUMMYFUNCTION("""COMPUTED_VALUE"""),"")</f>
        <v/>
      </c>
      <c r="O109" t="str">
        <f ca="1">IFERROR(__xludf.DUMMYFUNCTION("""COMPUTED_VALUE"""),"")</f>
        <v/>
      </c>
      <c r="P109" t="str">
        <f ca="1">IFERROR(__xludf.DUMMYFUNCTION("""COMPUTED_VALUE"""),"")</f>
        <v/>
      </c>
      <c r="Q109" t="str">
        <f ca="1">IFERROR(__xludf.DUMMYFUNCTION("""COMPUTED_VALUE"""),"")</f>
        <v/>
      </c>
      <c r="R109" t="str">
        <f ca="1">IFERROR(__xludf.DUMMYFUNCTION("""COMPUTED_VALUE"""),"")</f>
        <v/>
      </c>
      <c r="S109" t="str">
        <f ca="1">IFERROR(__xludf.DUMMYFUNCTION("""COMPUTED_VALUE"""),"")</f>
        <v/>
      </c>
      <c r="T109" t="str">
        <f ca="1">IFERROR(__xludf.DUMMYFUNCTION("""COMPUTED_VALUE"""),"")</f>
        <v/>
      </c>
      <c r="U109" t="str">
        <f ca="1">IFERROR(__xludf.DUMMYFUNCTION("""COMPUTED_VALUE"""),"")</f>
        <v/>
      </c>
      <c r="V109" t="str">
        <f ca="1">IFERROR(__xludf.DUMMYFUNCTION("""COMPUTED_VALUE"""),"")</f>
        <v/>
      </c>
      <c r="W109" t="str">
        <f ca="1">IFERROR(__xludf.DUMMYFUNCTION("""COMPUTED_VALUE"""),"")</f>
        <v/>
      </c>
      <c r="X109" t="str">
        <f ca="1">IFERROR(__xludf.DUMMYFUNCTION("""COMPUTED_VALUE"""),"")</f>
        <v/>
      </c>
      <c r="Y109" t="str">
        <f ca="1">IFERROR(__xludf.DUMMYFUNCTION("""COMPUTED_VALUE"""),"ZŠ")</f>
        <v>ZŠ</v>
      </c>
      <c r="Z109" t="b">
        <f ca="1">IFERROR(__xludf.DUMMYFUNCTION("""COMPUTED_VALUE"""),TRUE)</f>
        <v>1</v>
      </c>
      <c r="AA109" t="b">
        <f ca="1">IFERROR(__xludf.DUMMYFUNCTION("""COMPUTED_VALUE"""),FALSE)</f>
        <v>0</v>
      </c>
      <c r="AB109" t="b">
        <f ca="1">IFERROR(__xludf.DUMMYFUNCTION("""COMPUTED_VALUE"""),FALSE)</f>
        <v>0</v>
      </c>
      <c r="AC109" t="b">
        <f ca="1">IFERROR(__xludf.DUMMYFUNCTION("""COMPUTED_VALUE"""),FALSE)</f>
        <v>0</v>
      </c>
      <c r="AD109" t="b">
        <f ca="1">IFERROR(__xludf.DUMMYFUNCTION("""COMPUTED_VALUE"""),FALSE)</f>
        <v>0</v>
      </c>
      <c r="AE109" t="b">
        <f ca="1">IFERROR(__xludf.DUMMYFUNCTION("""COMPUTED_VALUE"""),FALSE)</f>
        <v>0</v>
      </c>
      <c r="AF109" t="b">
        <f ca="1">IFERROR(__xludf.DUMMYFUNCTION("""COMPUTED_VALUE"""),FALSE)</f>
        <v>0</v>
      </c>
      <c r="AG109" t="str">
        <f ca="1">IFERROR(__xludf.DUMMYFUNCTION("""COMPUTED_VALUE"""),"Čára (line follower)")</f>
        <v>Čára (line follower)</v>
      </c>
    </row>
    <row r="110" spans="1:33" ht="13.2">
      <c r="A110">
        <f ca="1">IFERROR(__xludf.DUMMYFUNCTION("""COMPUTED_VALUE"""),113)</f>
        <v>113</v>
      </c>
      <c r="B110" t="str">
        <f ca="1">IFERROR(__xludf.DUMMYFUNCTION("""COMPUTED_VALUE"""),"Veselí nad Moravou")</f>
        <v>Veselí nad Moravou</v>
      </c>
      <c r="C110" t="str">
        <f ca="1">IFERROR(__xludf.DUMMYFUNCTION("""COMPUTED_VALUE"""),"CZŠ Veselí nad Moravou")</f>
        <v>CZŠ Veselí nad Moravou</v>
      </c>
      <c r="D110" t="str">
        <f ca="1">IFERROR(__xludf.DUMMYFUNCTION("""COMPUTED_VALUE"""),"CZŠ Veselí")</f>
        <v>CZŠ Veselí</v>
      </c>
      <c r="E110" s="158">
        <f ca="1">IFERROR(__xludf.DUMMYFUNCTION("""COMPUTED_VALUE"""),0.435416666666666)</f>
        <v>0.43541666666666601</v>
      </c>
      <c r="F110" t="str">
        <f ca="1">IFERROR(__xludf.DUMMYFUNCTION("""COMPUTED_VALUE"""),"A")</f>
        <v>A</v>
      </c>
      <c r="G110" s="158">
        <f ca="1">IFERROR(__xludf.DUMMYFUNCTION("""COMPUTED_VALUE"""),0.505555555555555)</f>
        <v>0.50555555555555498</v>
      </c>
      <c r="H110" t="str">
        <f ca="1">IFERROR(__xludf.DUMMYFUNCTION("""COMPUTED_VALUE"""),"A")</f>
        <v>A</v>
      </c>
      <c r="I110" s="158">
        <f ca="1">IFERROR(__xludf.DUMMYFUNCTION("""COMPUTED_VALUE"""),0.580555555555555)</f>
        <v>0.58055555555555505</v>
      </c>
      <c r="J110" t="str">
        <f ca="1">IFERROR(__xludf.DUMMYFUNCTION("""COMPUTED_VALUE"""),"A")</f>
        <v>A</v>
      </c>
      <c r="K110" s="158">
        <f ca="1">IFERROR(__xludf.DUMMYFUNCTION("""COMPUTED_VALUE"""),0.459722222222222)</f>
        <v>0.45972222222222198</v>
      </c>
      <c r="L110" t="str">
        <f ca="1">IFERROR(__xludf.DUMMYFUNCTION("""COMPUTED_VALUE"""),"B")</f>
        <v>B</v>
      </c>
      <c r="M110" s="158">
        <f ca="1">IFERROR(__xludf.DUMMYFUNCTION("""COMPUTED_VALUE"""),0.55)</f>
        <v>0.55000000000000004</v>
      </c>
      <c r="N110" t="str">
        <f ca="1">IFERROR(__xludf.DUMMYFUNCTION("""COMPUTED_VALUE"""),"B")</f>
        <v>B</v>
      </c>
      <c r="O110" t="str">
        <f ca="1">IFERROR(__xludf.DUMMYFUNCTION("""COMPUTED_VALUE"""),"")</f>
        <v/>
      </c>
      <c r="P110" t="str">
        <f ca="1">IFERROR(__xludf.DUMMYFUNCTION("""COMPUTED_VALUE"""),"")</f>
        <v/>
      </c>
      <c r="Q110" s="158">
        <f ca="1">IFERROR(__xludf.DUMMYFUNCTION("""COMPUTED_VALUE"""),0.518055555555555)</f>
        <v>0.51805555555555505</v>
      </c>
      <c r="R110" t="str">
        <f ca="1">IFERROR(__xludf.DUMMYFUNCTION("""COMPUTED_VALUE"""),"A")</f>
        <v>A</v>
      </c>
      <c r="S110" s="158">
        <f ca="1">IFERROR(__xludf.DUMMYFUNCTION("""COMPUTED_VALUE"""),0.55625)</f>
        <v>0.55625000000000002</v>
      </c>
      <c r="T110" t="str">
        <f ca="1">IFERROR(__xludf.DUMMYFUNCTION("""COMPUTED_VALUE"""),"A")</f>
        <v>A</v>
      </c>
      <c r="U110" t="str">
        <f ca="1">IFERROR(__xludf.DUMMYFUNCTION("""COMPUTED_VALUE"""),"")</f>
        <v/>
      </c>
      <c r="V110" t="str">
        <f ca="1">IFERROR(__xludf.DUMMYFUNCTION("""COMPUTED_VALUE"""),"")</f>
        <v/>
      </c>
      <c r="W110" t="str">
        <f ca="1">IFERROR(__xludf.DUMMYFUNCTION("""COMPUTED_VALUE"""),"")</f>
        <v/>
      </c>
      <c r="X110" t="str">
        <f ca="1">IFERROR(__xludf.DUMMYFUNCTION("""COMPUTED_VALUE"""),"")</f>
        <v/>
      </c>
      <c r="Y110" t="str">
        <f ca="1">IFERROR(__xludf.DUMMYFUNCTION("""COMPUTED_VALUE"""),"ZŠ")</f>
        <v>ZŠ</v>
      </c>
      <c r="Z110" t="b">
        <f ca="1">IFERROR(__xludf.DUMMYFUNCTION("""COMPUTED_VALUE"""),TRUE)</f>
        <v>1</v>
      </c>
      <c r="AA110" t="b">
        <f ca="1">IFERROR(__xludf.DUMMYFUNCTION("""COMPUTED_VALUE"""),FALSE)</f>
        <v>0</v>
      </c>
      <c r="AB110" t="b">
        <f ca="1">IFERROR(__xludf.DUMMYFUNCTION("""COMPUTED_VALUE"""),FALSE)</f>
        <v>0</v>
      </c>
      <c r="AC110" t="b">
        <f ca="1">IFERROR(__xludf.DUMMYFUNCTION("""COMPUTED_VALUE"""),TRUE)</f>
        <v>1</v>
      </c>
      <c r="AD110" t="b">
        <f ca="1">IFERROR(__xludf.DUMMYFUNCTION("""COMPUTED_VALUE"""),FALSE)</f>
        <v>0</v>
      </c>
      <c r="AE110" t="b">
        <f ca="1">IFERROR(__xludf.DUMMYFUNCTION("""COMPUTED_VALUE"""),FALSE)</f>
        <v>0</v>
      </c>
      <c r="AF110" t="b">
        <f ca="1">IFERROR(__xludf.DUMMYFUNCTION("""COMPUTED_VALUE"""),FALSE)</f>
        <v>0</v>
      </c>
      <c r="AG110" t="str">
        <f ca="1">IFERROR(__xludf.DUMMYFUNCTION("""COMPUTED_VALUE"""),"Čára (line follower), Autonomní medvěd (bear rescue advance), Sprint - LEGO (drag race - Lego)")</f>
        <v>Čára (line follower), Autonomní medvěd (bear rescue advance), Sprint - LEGO (drag race - Lego)</v>
      </c>
    </row>
    <row r="111" spans="1:33" ht="13.2">
      <c r="A111">
        <f ca="1">IFERROR(__xludf.DUMMYFUNCTION("""COMPUTED_VALUE"""),114)</f>
        <v>114</v>
      </c>
      <c r="B111" t="str">
        <f ca="1">IFERROR(__xludf.DUMMYFUNCTION("""COMPUTED_VALUE"""),"Hradec Králové")</f>
        <v>Hradec Králové</v>
      </c>
      <c r="C111" t="str">
        <f ca="1">IFERROR(__xludf.DUMMYFUNCTION("""COMPUTED_VALUE"""),"DDM Hradec Králové")</f>
        <v>DDM Hradec Králové</v>
      </c>
      <c r="D111" t="str">
        <f ca="1">IFERROR(__xludf.DUMMYFUNCTION("""COMPUTED_VALUE"""),"Hradečtí baráčníci")</f>
        <v>Hradečtí baráčníci</v>
      </c>
      <c r="E111" s="158">
        <f ca="1">IFERROR(__xludf.DUMMYFUNCTION("""COMPUTED_VALUE"""),0.436805555555555)</f>
        <v>0.436805555555555</v>
      </c>
      <c r="F111" t="str">
        <f ca="1">IFERROR(__xludf.DUMMYFUNCTION("""COMPUTED_VALUE"""),"B")</f>
        <v>B</v>
      </c>
      <c r="G111" s="158">
        <f ca="1">IFERROR(__xludf.DUMMYFUNCTION("""COMPUTED_VALUE"""),0.506944444444444)</f>
        <v>0.50694444444444398</v>
      </c>
      <c r="H111" t="str">
        <f ca="1">IFERROR(__xludf.DUMMYFUNCTION("""COMPUTED_VALUE"""),"B")</f>
        <v>B</v>
      </c>
      <c r="I111" s="158">
        <f ca="1">IFERROR(__xludf.DUMMYFUNCTION("""COMPUTED_VALUE"""),0.581944444444444)</f>
        <v>0.58194444444444404</v>
      </c>
      <c r="J111" t="str">
        <f ca="1">IFERROR(__xludf.DUMMYFUNCTION("""COMPUTED_VALUE"""),"B")</f>
        <v>B</v>
      </c>
      <c r="K111" t="str">
        <f ca="1">IFERROR(__xludf.DUMMYFUNCTION("""COMPUTED_VALUE"""),"")</f>
        <v/>
      </c>
      <c r="L111" t="str">
        <f ca="1">IFERROR(__xludf.DUMMYFUNCTION("""COMPUTED_VALUE"""),"")</f>
        <v/>
      </c>
      <c r="M111" t="str">
        <f ca="1">IFERROR(__xludf.DUMMYFUNCTION("""COMPUTED_VALUE"""),"")</f>
        <v/>
      </c>
      <c r="N111" t="str">
        <f ca="1">IFERROR(__xludf.DUMMYFUNCTION("""COMPUTED_VALUE"""),"")</f>
        <v/>
      </c>
      <c r="O111" t="str">
        <f ca="1">IFERROR(__xludf.DUMMYFUNCTION("""COMPUTED_VALUE"""),"")</f>
        <v/>
      </c>
      <c r="P111" t="str">
        <f ca="1">IFERROR(__xludf.DUMMYFUNCTION("""COMPUTED_VALUE"""),"")</f>
        <v/>
      </c>
      <c r="Q111" s="158">
        <f ca="1">IFERROR(__xludf.DUMMYFUNCTION("""COMPUTED_VALUE"""),0.518055555555555)</f>
        <v>0.51805555555555505</v>
      </c>
      <c r="R111" t="str">
        <f ca="1">IFERROR(__xludf.DUMMYFUNCTION("""COMPUTED_VALUE"""),"B")</f>
        <v>B</v>
      </c>
      <c r="S111" s="158">
        <f ca="1">IFERROR(__xludf.DUMMYFUNCTION("""COMPUTED_VALUE"""),0.55625)</f>
        <v>0.55625000000000002</v>
      </c>
      <c r="T111" t="str">
        <f ca="1">IFERROR(__xludf.DUMMYFUNCTION("""COMPUTED_VALUE"""),"B")</f>
        <v>B</v>
      </c>
      <c r="U111" t="str">
        <f ca="1">IFERROR(__xludf.DUMMYFUNCTION("""COMPUTED_VALUE"""),"")</f>
        <v/>
      </c>
      <c r="V111" t="str">
        <f ca="1">IFERROR(__xludf.DUMMYFUNCTION("""COMPUTED_VALUE"""),"")</f>
        <v/>
      </c>
      <c r="W111" t="str">
        <f ca="1">IFERROR(__xludf.DUMMYFUNCTION("""COMPUTED_VALUE"""),"")</f>
        <v/>
      </c>
      <c r="X111" t="str">
        <f ca="1">IFERROR(__xludf.DUMMYFUNCTION("""COMPUTED_VALUE"""),"")</f>
        <v/>
      </c>
      <c r="Y111" t="str">
        <f ca="1">IFERROR(__xludf.DUMMYFUNCTION("""COMPUTED_VALUE"""),"ZŠ")</f>
        <v>ZŠ</v>
      </c>
      <c r="Z111" t="b">
        <f ca="1">IFERROR(__xludf.DUMMYFUNCTION("""COMPUTED_VALUE"""),TRUE)</f>
        <v>1</v>
      </c>
      <c r="AA111" t="b">
        <f ca="1">IFERROR(__xludf.DUMMYFUNCTION("""COMPUTED_VALUE"""),FALSE)</f>
        <v>0</v>
      </c>
      <c r="AB111" t="b">
        <f ca="1">IFERROR(__xludf.DUMMYFUNCTION("""COMPUTED_VALUE"""),FALSE)</f>
        <v>0</v>
      </c>
      <c r="AC111" t="b">
        <f ca="1">IFERROR(__xludf.DUMMYFUNCTION("""COMPUTED_VALUE"""),TRUE)</f>
        <v>1</v>
      </c>
      <c r="AD111" t="b">
        <f ca="1">IFERROR(__xludf.DUMMYFUNCTION("""COMPUTED_VALUE"""),FALSE)</f>
        <v>0</v>
      </c>
      <c r="AE111" t="b">
        <f ca="1">IFERROR(__xludf.DUMMYFUNCTION("""COMPUTED_VALUE"""),FALSE)</f>
        <v>0</v>
      </c>
      <c r="AF111" t="b">
        <f ca="1">IFERROR(__xludf.DUMMYFUNCTION("""COMPUTED_VALUE"""),FALSE)</f>
        <v>0</v>
      </c>
      <c r="AG111" t="str">
        <f ca="1">IFERROR(__xludf.DUMMYFUNCTION("""COMPUTED_VALUE"""),"Čára (line follower), Sprint - LEGO (drag race - Lego)")</f>
        <v>Čára (line follower), Sprint - LEGO (drag race - Lego)</v>
      </c>
    </row>
    <row r="112" spans="1:33" ht="13.2">
      <c r="A112">
        <f ca="1">IFERROR(__xludf.DUMMYFUNCTION("""COMPUTED_VALUE"""),115)</f>
        <v>115</v>
      </c>
      <c r="B112" t="str">
        <f ca="1">IFERROR(__xludf.DUMMYFUNCTION("""COMPUTED_VALUE"""),"Ostrava")</f>
        <v>Ostrava</v>
      </c>
      <c r="C112" t="str">
        <f ca="1">IFERROR(__xludf.DUMMYFUNCTION("""COMPUTED_VALUE"""),"DDM Ostrava - Poruba")</f>
        <v>DDM Ostrava - Poruba</v>
      </c>
      <c r="D112" t="str">
        <f ca="1">IFERROR(__xludf.DUMMYFUNCTION("""COMPUTED_VALUE"""),"Robokrug II")</f>
        <v>Robokrug II</v>
      </c>
      <c r="E112" t="str">
        <f ca="1">IFERROR(__xludf.DUMMYFUNCTION("""COMPUTED_VALUE"""),"---")</f>
        <v>---</v>
      </c>
      <c r="F112" t="str">
        <f ca="1">IFERROR(__xludf.DUMMYFUNCTION("""COMPUTED_VALUE"""),"")</f>
        <v/>
      </c>
      <c r="G112" t="str">
        <f ca="1">IFERROR(__xludf.DUMMYFUNCTION("""COMPUTED_VALUE"""),"---")</f>
        <v>---</v>
      </c>
      <c r="H112" t="str">
        <f ca="1">IFERROR(__xludf.DUMMYFUNCTION("""COMPUTED_VALUE"""),"")</f>
        <v/>
      </c>
      <c r="I112" t="str">
        <f ca="1">IFERROR(__xludf.DUMMYFUNCTION("""COMPUTED_VALUE"""),"---")</f>
        <v>---</v>
      </c>
      <c r="J112" t="str">
        <f ca="1">IFERROR(__xludf.DUMMYFUNCTION("""COMPUTED_VALUE"""),"")</f>
        <v/>
      </c>
      <c r="K112" t="str">
        <f ca="1">IFERROR(__xludf.DUMMYFUNCTION("""COMPUTED_VALUE"""),"")</f>
        <v/>
      </c>
      <c r="L112" t="str">
        <f ca="1">IFERROR(__xludf.DUMMYFUNCTION("""COMPUTED_VALUE"""),"")</f>
        <v/>
      </c>
      <c r="M112" t="str">
        <f ca="1">IFERROR(__xludf.DUMMYFUNCTION("""COMPUTED_VALUE"""),"")</f>
        <v/>
      </c>
      <c r="N112" t="str">
        <f ca="1">IFERROR(__xludf.DUMMYFUNCTION("""COMPUTED_VALUE"""),"")</f>
        <v/>
      </c>
      <c r="O112" t="str">
        <f ca="1">IFERROR(__xludf.DUMMYFUNCTION("""COMPUTED_VALUE"""),"")</f>
        <v/>
      </c>
      <c r="P112" t="str">
        <f ca="1">IFERROR(__xludf.DUMMYFUNCTION("""COMPUTED_VALUE"""),"")</f>
        <v/>
      </c>
      <c r="Q112" s="158">
        <f ca="1">IFERROR(__xludf.DUMMYFUNCTION("""COMPUTED_VALUE"""),0.51875)</f>
        <v>0.51875000000000004</v>
      </c>
      <c r="R112" t="str">
        <f ca="1">IFERROR(__xludf.DUMMYFUNCTION("""COMPUTED_VALUE"""),"A")</f>
        <v>A</v>
      </c>
      <c r="S112" s="158">
        <f ca="1">IFERROR(__xludf.DUMMYFUNCTION("""COMPUTED_VALUE"""),0.556944444444444)</f>
        <v>0.55694444444444402</v>
      </c>
      <c r="T112" t="str">
        <f ca="1">IFERROR(__xludf.DUMMYFUNCTION("""COMPUTED_VALUE"""),"A")</f>
        <v>A</v>
      </c>
      <c r="U112" t="str">
        <f ca="1">IFERROR(__xludf.DUMMYFUNCTION("""COMPUTED_VALUE"""),"")</f>
        <v/>
      </c>
      <c r="V112" t="str">
        <f ca="1">IFERROR(__xludf.DUMMYFUNCTION("""COMPUTED_VALUE"""),"")</f>
        <v/>
      </c>
      <c r="W112" t="str">
        <f ca="1">IFERROR(__xludf.DUMMYFUNCTION("""COMPUTED_VALUE"""),"")</f>
        <v/>
      </c>
      <c r="X112" t="str">
        <f ca="1">IFERROR(__xludf.DUMMYFUNCTION("""COMPUTED_VALUE"""),"")</f>
        <v/>
      </c>
      <c r="Y112" t="str">
        <f ca="1">IFERROR(__xludf.DUMMYFUNCTION("""COMPUTED_VALUE"""),"SŠ")</f>
        <v>SŠ</v>
      </c>
      <c r="Z112" s="158" t="b">
        <f ca="1">IFERROR(__xludf.DUMMYFUNCTION("""COMPUTED_VALUE"""),FALSE)</f>
        <v>0</v>
      </c>
      <c r="AA112" t="b">
        <f ca="1">IFERROR(__xludf.DUMMYFUNCTION("""COMPUTED_VALUE"""),FALSE)</f>
        <v>0</v>
      </c>
      <c r="AB112" t="b">
        <f ca="1">IFERROR(__xludf.DUMMYFUNCTION("""COMPUTED_VALUE"""),FALSE)</f>
        <v>0</v>
      </c>
      <c r="AC112" t="b">
        <f ca="1">IFERROR(__xludf.DUMMYFUNCTION("""COMPUTED_VALUE"""),TRUE)</f>
        <v>1</v>
      </c>
      <c r="AD112" t="b">
        <f ca="1">IFERROR(__xludf.DUMMYFUNCTION("""COMPUTED_VALUE"""),FALSE)</f>
        <v>0</v>
      </c>
      <c r="AE112" t="b">
        <f ca="1">IFERROR(__xludf.DUMMYFUNCTION("""COMPUTED_VALUE"""),FALSE)</f>
        <v>0</v>
      </c>
      <c r="AF112" t="b">
        <f ca="1">IFERROR(__xludf.DUMMYFUNCTION("""COMPUTED_VALUE"""),FALSE)</f>
        <v>0</v>
      </c>
      <c r="AG112" t="str">
        <f ca="1">IFERROR(__xludf.DUMMYFUNCTION("""COMPUTED_VALUE"""),"Sprint - LEGO (drag race - Lego)")</f>
        <v>Sprint - LEGO (drag race - Lego)</v>
      </c>
    </row>
    <row r="113" spans="1:33" ht="13.2">
      <c r="A113">
        <f ca="1">IFERROR(__xludf.DUMMYFUNCTION("""COMPUTED_VALUE"""),116)</f>
        <v>116</v>
      </c>
      <c r="B113" t="str">
        <f ca="1">IFERROR(__xludf.DUMMYFUNCTION("""COMPUTED_VALUE"""),"Ostrava")</f>
        <v>Ostrava</v>
      </c>
      <c r="C113" t="str">
        <f ca="1">IFERROR(__xludf.DUMMYFUNCTION("""COMPUTED_VALUE"""),"DDM Ostrava Poruba ")</f>
        <v xml:space="preserve">DDM Ostrava Poruba </v>
      </c>
      <c r="D113" t="str">
        <f ca="1">IFERROR(__xludf.DUMMYFUNCTION("""COMPUTED_VALUE"""),"Robokrug")</f>
        <v>Robokrug</v>
      </c>
      <c r="E113" s="158">
        <f ca="1">IFERROR(__xludf.DUMMYFUNCTION("""COMPUTED_VALUE"""),0.436805555555555)</f>
        <v>0.436805555555555</v>
      </c>
      <c r="F113" t="str">
        <f ca="1">IFERROR(__xludf.DUMMYFUNCTION("""COMPUTED_VALUE"""),"A")</f>
        <v>A</v>
      </c>
      <c r="G113" s="158">
        <f ca="1">IFERROR(__xludf.DUMMYFUNCTION("""COMPUTED_VALUE"""),0.506944444444444)</f>
        <v>0.50694444444444398</v>
      </c>
      <c r="H113" t="str">
        <f ca="1">IFERROR(__xludf.DUMMYFUNCTION("""COMPUTED_VALUE"""),"A")</f>
        <v>A</v>
      </c>
      <c r="I113" s="158">
        <f ca="1">IFERROR(__xludf.DUMMYFUNCTION("""COMPUTED_VALUE"""),0.581944444444444)</f>
        <v>0.58194444444444404</v>
      </c>
      <c r="J113" t="str">
        <f ca="1">IFERROR(__xludf.DUMMYFUNCTION("""COMPUTED_VALUE"""),"A")</f>
        <v>A</v>
      </c>
      <c r="K113" t="str">
        <f ca="1">IFERROR(__xludf.DUMMYFUNCTION("""COMPUTED_VALUE"""),"")</f>
        <v/>
      </c>
      <c r="L113" t="str">
        <f ca="1">IFERROR(__xludf.DUMMYFUNCTION("""COMPUTED_VALUE"""),"")</f>
        <v/>
      </c>
      <c r="M113" t="str">
        <f ca="1">IFERROR(__xludf.DUMMYFUNCTION("""COMPUTED_VALUE"""),"")</f>
        <v/>
      </c>
      <c r="N113" t="str">
        <f ca="1">IFERROR(__xludf.DUMMYFUNCTION("""COMPUTED_VALUE"""),"")</f>
        <v/>
      </c>
      <c r="O113" s="158">
        <f ca="1">IFERROR(__xludf.DUMMYFUNCTION("""COMPUTED_VALUE"""),0.494444444444444)</f>
        <v>0.49444444444444402</v>
      </c>
      <c r="P113" t="str">
        <f ca="1">IFERROR(__xludf.DUMMYFUNCTION("""COMPUTED_VALUE"""),"B")</f>
        <v>B</v>
      </c>
      <c r="Q113" s="158">
        <f ca="1">IFERROR(__xludf.DUMMYFUNCTION("""COMPUTED_VALUE"""),0.51875)</f>
        <v>0.51875000000000004</v>
      </c>
      <c r="R113" t="str">
        <f ca="1">IFERROR(__xludf.DUMMYFUNCTION("""COMPUTED_VALUE"""),"B")</f>
        <v>B</v>
      </c>
      <c r="S113" s="158">
        <f ca="1">IFERROR(__xludf.DUMMYFUNCTION("""COMPUTED_VALUE"""),0.556944444444444)</f>
        <v>0.55694444444444402</v>
      </c>
      <c r="T113" t="str">
        <f ca="1">IFERROR(__xludf.DUMMYFUNCTION("""COMPUTED_VALUE"""),"B")</f>
        <v>B</v>
      </c>
      <c r="U113" t="str">
        <f ca="1">IFERROR(__xludf.DUMMYFUNCTION("""COMPUTED_VALUE"""),"")</f>
        <v/>
      </c>
      <c r="V113" t="str">
        <f ca="1">IFERROR(__xludf.DUMMYFUNCTION("""COMPUTED_VALUE"""),"")</f>
        <v/>
      </c>
      <c r="W113" t="str">
        <f ca="1">IFERROR(__xludf.DUMMYFUNCTION("""COMPUTED_VALUE"""),"")</f>
        <v/>
      </c>
      <c r="X113" t="str">
        <f ca="1">IFERROR(__xludf.DUMMYFUNCTION("""COMPUTED_VALUE"""),"")</f>
        <v/>
      </c>
      <c r="Y113" t="str">
        <f ca="1">IFERROR(__xludf.DUMMYFUNCTION("""COMPUTED_VALUE"""),"ZŠ")</f>
        <v>ZŠ</v>
      </c>
      <c r="Z113" t="b">
        <f ca="1">IFERROR(__xludf.DUMMYFUNCTION("""COMPUTED_VALUE"""),TRUE)</f>
        <v>1</v>
      </c>
      <c r="AA113" t="b">
        <f ca="1">IFERROR(__xludf.DUMMYFUNCTION("""COMPUTED_VALUE"""),FALSE)</f>
        <v>0</v>
      </c>
      <c r="AB113" t="b">
        <f ca="1">IFERROR(__xludf.DUMMYFUNCTION("""COMPUTED_VALUE"""),TRUE)</f>
        <v>1</v>
      </c>
      <c r="AC113" t="b">
        <f ca="1">IFERROR(__xludf.DUMMYFUNCTION("""COMPUTED_VALUE"""),TRUE)</f>
        <v>1</v>
      </c>
      <c r="AD113" t="b">
        <f ca="1">IFERROR(__xludf.DUMMYFUNCTION("""COMPUTED_VALUE"""),FALSE)</f>
        <v>0</v>
      </c>
      <c r="AE113" t="b">
        <f ca="1">IFERROR(__xludf.DUMMYFUNCTION("""COMPUTED_VALUE"""),FALSE)</f>
        <v>0</v>
      </c>
      <c r="AF113" t="b">
        <f ca="1">IFERROR(__xludf.DUMMYFUNCTION("""COMPUTED_VALUE"""),FALSE)</f>
        <v>0</v>
      </c>
      <c r="AG113" t="str">
        <f ca="1">IFERROR(__xludf.DUMMYFUNCTION("""COMPUTED_VALUE"""),"Čára (line follower), Dálkový medvěd (bear rescue), Sprint - LEGO (drag race - Lego)")</f>
        <v>Čára (line follower), Dálkový medvěd (bear rescue), Sprint - LEGO (drag race - Lego)</v>
      </c>
    </row>
    <row r="114" spans="1:33" ht="13.2">
      <c r="A114">
        <f ca="1">IFERROR(__xludf.DUMMYFUNCTION("""COMPUTED_VALUE"""),117)</f>
        <v>117</v>
      </c>
      <c r="B114" t="str">
        <f ca="1">IFERROR(__xludf.DUMMYFUNCTION("""COMPUTED_VALUE"""),"Praha")</f>
        <v>Praha</v>
      </c>
      <c r="C114" t="str">
        <f ca="1">IFERROR(__xludf.DUMMYFUNCTION("""COMPUTED_VALUE"""),"DDM Praha 4 - Hobby centrum 4")</f>
        <v>DDM Praha 4 - Hobby centrum 4</v>
      </c>
      <c r="D114" t="str">
        <f ca="1">IFERROR(__xludf.DUMMYFUNCTION("""COMPUTED_VALUE"""),"Crazy brick")</f>
        <v>Crazy brick</v>
      </c>
      <c r="E114" t="str">
        <f ca="1">IFERROR(__xludf.DUMMYFUNCTION("""COMPUTED_VALUE"""),"---")</f>
        <v>---</v>
      </c>
      <c r="F114" t="str">
        <f ca="1">IFERROR(__xludf.DUMMYFUNCTION("""COMPUTED_VALUE"""),"")</f>
        <v/>
      </c>
      <c r="G114" t="str">
        <f ca="1">IFERROR(__xludf.DUMMYFUNCTION("""COMPUTED_VALUE"""),"---")</f>
        <v>---</v>
      </c>
      <c r="H114" t="str">
        <f ca="1">IFERROR(__xludf.DUMMYFUNCTION("""COMPUTED_VALUE"""),"")</f>
        <v/>
      </c>
      <c r="I114" t="str">
        <f ca="1">IFERROR(__xludf.DUMMYFUNCTION("""COMPUTED_VALUE"""),"---")</f>
        <v>---</v>
      </c>
      <c r="J114" t="str">
        <f ca="1">IFERROR(__xludf.DUMMYFUNCTION("""COMPUTED_VALUE"""),"")</f>
        <v/>
      </c>
      <c r="K114" t="str">
        <f ca="1">IFERROR(__xludf.DUMMYFUNCTION("""COMPUTED_VALUE"""),"")</f>
        <v/>
      </c>
      <c r="L114" t="str">
        <f ca="1">IFERROR(__xludf.DUMMYFUNCTION("""COMPUTED_VALUE"""),"")</f>
        <v/>
      </c>
      <c r="M114" t="str">
        <f ca="1">IFERROR(__xludf.DUMMYFUNCTION("""COMPUTED_VALUE"""),"")</f>
        <v/>
      </c>
      <c r="N114" t="str">
        <f ca="1">IFERROR(__xludf.DUMMYFUNCTION("""COMPUTED_VALUE"""),"")</f>
        <v/>
      </c>
      <c r="O114" t="str">
        <f ca="1">IFERROR(__xludf.DUMMYFUNCTION("""COMPUTED_VALUE"""),"")</f>
        <v/>
      </c>
      <c r="P114" t="str">
        <f ca="1">IFERROR(__xludf.DUMMYFUNCTION("""COMPUTED_VALUE"""),"")</f>
        <v/>
      </c>
      <c r="Q114" s="158">
        <f ca="1">IFERROR(__xludf.DUMMYFUNCTION("""COMPUTED_VALUE"""),0.519444444444444)</f>
        <v>0.51944444444444404</v>
      </c>
      <c r="R114" t="str">
        <f ca="1">IFERROR(__xludf.DUMMYFUNCTION("""COMPUTED_VALUE"""),"A")</f>
        <v>A</v>
      </c>
      <c r="S114" s="158">
        <f ca="1">IFERROR(__xludf.DUMMYFUNCTION("""COMPUTED_VALUE"""),0.557638888888888)</f>
        <v>0.55763888888888802</v>
      </c>
      <c r="T114" t="str">
        <f ca="1">IFERROR(__xludf.DUMMYFUNCTION("""COMPUTED_VALUE"""),"A")</f>
        <v>A</v>
      </c>
      <c r="U114" t="str">
        <f ca="1">IFERROR(__xludf.DUMMYFUNCTION("""COMPUTED_VALUE"""),"")</f>
        <v/>
      </c>
      <c r="V114" t="str">
        <f ca="1">IFERROR(__xludf.DUMMYFUNCTION("""COMPUTED_VALUE"""),"")</f>
        <v/>
      </c>
      <c r="W114" t="str">
        <f ca="1">IFERROR(__xludf.DUMMYFUNCTION("""COMPUTED_VALUE"""),"")</f>
        <v/>
      </c>
      <c r="X114" t="str">
        <f ca="1">IFERROR(__xludf.DUMMYFUNCTION("""COMPUTED_VALUE"""),"")</f>
        <v/>
      </c>
      <c r="Y114" t="str">
        <f ca="1">IFERROR(__xludf.DUMMYFUNCTION("""COMPUTED_VALUE"""),"ZŠ")</f>
        <v>ZŠ</v>
      </c>
      <c r="Z114" s="158" t="b">
        <f ca="1">IFERROR(__xludf.DUMMYFUNCTION("""COMPUTED_VALUE"""),FALSE)</f>
        <v>0</v>
      </c>
      <c r="AA114" t="b">
        <f ca="1">IFERROR(__xludf.DUMMYFUNCTION("""COMPUTED_VALUE"""),FALSE)</f>
        <v>0</v>
      </c>
      <c r="AB114" t="b">
        <f ca="1">IFERROR(__xludf.DUMMYFUNCTION("""COMPUTED_VALUE"""),FALSE)</f>
        <v>0</v>
      </c>
      <c r="AC114" t="b">
        <f ca="1">IFERROR(__xludf.DUMMYFUNCTION("""COMPUTED_VALUE"""),TRUE)</f>
        <v>1</v>
      </c>
      <c r="AD114" t="b">
        <f ca="1">IFERROR(__xludf.DUMMYFUNCTION("""COMPUTED_VALUE"""),FALSE)</f>
        <v>0</v>
      </c>
      <c r="AE114" t="b">
        <f ca="1">IFERROR(__xludf.DUMMYFUNCTION("""COMPUTED_VALUE"""),TRUE)</f>
        <v>1</v>
      </c>
      <c r="AF114" t="b">
        <f ca="1">IFERROR(__xludf.DUMMYFUNCTION("""COMPUTED_VALUE"""),FALSE)</f>
        <v>0</v>
      </c>
      <c r="AG114" t="str">
        <f ca="1">IFERROR(__xludf.DUMMYFUNCTION("""COMPUTED_VALUE"""),"Sprint - LEGO (drag race - Lego), Freestyle")</f>
        <v>Sprint - LEGO (drag race - Lego), Freestyle</v>
      </c>
    </row>
    <row r="115" spans="1:33" ht="13.2">
      <c r="A115">
        <f ca="1">IFERROR(__xludf.DUMMYFUNCTION("""COMPUTED_VALUE"""),118)</f>
        <v>118</v>
      </c>
      <c r="B115" t="str">
        <f ca="1">IFERROR(__xludf.DUMMYFUNCTION("""COMPUTED_VALUE"""),"Přerov")</f>
        <v>Přerov</v>
      </c>
      <c r="C115" t="str">
        <f ca="1">IFERROR(__xludf.DUMMYFUNCTION("""COMPUTED_VALUE"""),"Gymnázium Jakuba Škody")</f>
        <v>Gymnázium Jakuba Škody</v>
      </c>
      <c r="D115" t="str">
        <f ca="1">IFERROR(__xludf.DUMMYFUNCTION("""COMPUTED_VALUE"""),"Combat Wombat")</f>
        <v>Combat Wombat</v>
      </c>
      <c r="E115" t="str">
        <f ca="1">IFERROR(__xludf.DUMMYFUNCTION("""COMPUTED_VALUE"""),"---")</f>
        <v>---</v>
      </c>
      <c r="F115" t="str">
        <f ca="1">IFERROR(__xludf.DUMMYFUNCTION("""COMPUTED_VALUE"""),"")</f>
        <v/>
      </c>
      <c r="G115" t="str">
        <f ca="1">IFERROR(__xludf.DUMMYFUNCTION("""COMPUTED_VALUE"""),"---")</f>
        <v>---</v>
      </c>
      <c r="H115" t="str">
        <f ca="1">IFERROR(__xludf.DUMMYFUNCTION("""COMPUTED_VALUE"""),"")</f>
        <v/>
      </c>
      <c r="I115" t="str">
        <f ca="1">IFERROR(__xludf.DUMMYFUNCTION("""COMPUTED_VALUE"""),"---")</f>
        <v>---</v>
      </c>
      <c r="J115" t="str">
        <f ca="1">IFERROR(__xludf.DUMMYFUNCTION("""COMPUTED_VALUE"""),"")</f>
        <v/>
      </c>
      <c r="K115" s="158">
        <f ca="1">IFERROR(__xludf.DUMMYFUNCTION("""COMPUTED_VALUE"""),0.461805555555555)</f>
        <v>0.46180555555555503</v>
      </c>
      <c r="L115" t="str">
        <f ca="1">IFERROR(__xludf.DUMMYFUNCTION("""COMPUTED_VALUE"""),"A")</f>
        <v>A</v>
      </c>
      <c r="M115" s="158">
        <f ca="1">IFERROR(__xludf.DUMMYFUNCTION("""COMPUTED_VALUE"""),0.552083333333333)</f>
        <v>0.55208333333333304</v>
      </c>
      <c r="N115" t="str">
        <f ca="1">IFERROR(__xludf.DUMMYFUNCTION("""COMPUTED_VALUE"""),"A")</f>
        <v>A</v>
      </c>
      <c r="O115" t="str">
        <f ca="1">IFERROR(__xludf.DUMMYFUNCTION("""COMPUTED_VALUE"""),"")</f>
        <v/>
      </c>
      <c r="P115" t="str">
        <f ca="1">IFERROR(__xludf.DUMMYFUNCTION("""COMPUTED_VALUE"""),"")</f>
        <v/>
      </c>
      <c r="Q115" s="158">
        <f ca="1">IFERROR(__xludf.DUMMYFUNCTION("""COMPUTED_VALUE"""),0.519444444444444)</f>
        <v>0.51944444444444404</v>
      </c>
      <c r="R115" t="str">
        <f ca="1">IFERROR(__xludf.DUMMYFUNCTION("""COMPUTED_VALUE"""),"B")</f>
        <v>B</v>
      </c>
      <c r="S115" s="158">
        <f ca="1">IFERROR(__xludf.DUMMYFUNCTION("""COMPUTED_VALUE"""),0.557638888888888)</f>
        <v>0.55763888888888802</v>
      </c>
      <c r="T115" t="str">
        <f ca="1">IFERROR(__xludf.DUMMYFUNCTION("""COMPUTED_VALUE"""),"B")</f>
        <v>B</v>
      </c>
      <c r="U115" t="str">
        <f ca="1">IFERROR(__xludf.DUMMYFUNCTION("""COMPUTED_VALUE"""),"")</f>
        <v/>
      </c>
      <c r="V115" t="str">
        <f ca="1">IFERROR(__xludf.DUMMYFUNCTION("""COMPUTED_VALUE"""),"")</f>
        <v/>
      </c>
      <c r="W115" t="str">
        <f ca="1">IFERROR(__xludf.DUMMYFUNCTION("""COMPUTED_VALUE"""),"")</f>
        <v/>
      </c>
      <c r="X115" t="str">
        <f ca="1">IFERROR(__xludf.DUMMYFUNCTION("""COMPUTED_VALUE"""),"")</f>
        <v/>
      </c>
      <c r="Y115" t="str">
        <f ca="1">IFERROR(__xludf.DUMMYFUNCTION("""COMPUTED_VALUE"""),"SŠ")</f>
        <v>SŠ</v>
      </c>
      <c r="Z115" s="158" t="b">
        <f ca="1">IFERROR(__xludf.DUMMYFUNCTION("""COMPUTED_VALUE"""),FALSE)</f>
        <v>0</v>
      </c>
      <c r="AA115" t="b">
        <f ca="1">IFERROR(__xludf.DUMMYFUNCTION("""COMPUTED_VALUE"""),TRUE)</f>
        <v>1</v>
      </c>
      <c r="AB115" t="b">
        <f ca="1">IFERROR(__xludf.DUMMYFUNCTION("""COMPUTED_VALUE"""),FALSE)</f>
        <v>0</v>
      </c>
      <c r="AC115" t="b">
        <f ca="1">IFERROR(__xludf.DUMMYFUNCTION("""COMPUTED_VALUE"""),TRUE)</f>
        <v>1</v>
      </c>
      <c r="AD115" t="b">
        <f ca="1">IFERROR(__xludf.DUMMYFUNCTION("""COMPUTED_VALUE"""),FALSE)</f>
        <v>0</v>
      </c>
      <c r="AE115" t="b">
        <f ca="1">IFERROR(__xludf.DUMMYFUNCTION("""COMPUTED_VALUE"""),FALSE)</f>
        <v>0</v>
      </c>
      <c r="AF115" t="b">
        <f ca="1">IFERROR(__xludf.DUMMYFUNCTION("""COMPUTED_VALUE"""),FALSE)</f>
        <v>0</v>
      </c>
      <c r="AG115" t="str">
        <f ca="1">IFERROR(__xludf.DUMMYFUNCTION("""COMPUTED_VALUE"""),"Autonomní medvěd (bear rescue advance), Sprint - LEGO (drag race - Lego)")</f>
        <v>Autonomní medvěd (bear rescue advance), Sprint - LEGO (drag race - Lego)</v>
      </c>
    </row>
    <row r="116" spans="1:33" ht="13.2">
      <c r="A116">
        <f ca="1">IFERROR(__xludf.DUMMYFUNCTION("""COMPUTED_VALUE"""),119)</f>
        <v>119</v>
      </c>
      <c r="B116" t="str">
        <f ca="1">IFERROR(__xludf.DUMMYFUNCTION("""COMPUTED_VALUE"""),"Přerov")</f>
        <v>Přerov</v>
      </c>
      <c r="C116" t="str">
        <f ca="1">IFERROR(__xludf.DUMMYFUNCTION("""COMPUTED_VALUE"""),"Gymnázium Jakuba Škody, Přerov")</f>
        <v>Gymnázium Jakuba Škody, Přerov</v>
      </c>
      <c r="D116" t="str">
        <f ca="1">IFERROR(__xludf.DUMMYFUNCTION("""COMPUTED_VALUE"""),"Vybitý baterky")</f>
        <v>Vybitý baterky</v>
      </c>
      <c r="E116" t="str">
        <f ca="1">IFERROR(__xludf.DUMMYFUNCTION("""COMPUTED_VALUE"""),"---")</f>
        <v>---</v>
      </c>
      <c r="F116" t="str">
        <f ca="1">IFERROR(__xludf.DUMMYFUNCTION("""COMPUTED_VALUE"""),"")</f>
        <v/>
      </c>
      <c r="G116" t="str">
        <f ca="1">IFERROR(__xludf.DUMMYFUNCTION("""COMPUTED_VALUE"""),"---")</f>
        <v>---</v>
      </c>
      <c r="H116" t="str">
        <f ca="1">IFERROR(__xludf.DUMMYFUNCTION("""COMPUTED_VALUE"""),"")</f>
        <v/>
      </c>
      <c r="I116" t="str">
        <f ca="1">IFERROR(__xludf.DUMMYFUNCTION("""COMPUTED_VALUE"""),"---")</f>
        <v>---</v>
      </c>
      <c r="J116" t="str">
        <f ca="1">IFERROR(__xludf.DUMMYFUNCTION("""COMPUTED_VALUE"""),"")</f>
        <v/>
      </c>
      <c r="K116" s="158">
        <f ca="1">IFERROR(__xludf.DUMMYFUNCTION("""COMPUTED_VALUE"""),0.461805555555555)</f>
        <v>0.46180555555555503</v>
      </c>
      <c r="L116" t="str">
        <f ca="1">IFERROR(__xludf.DUMMYFUNCTION("""COMPUTED_VALUE"""),"B")</f>
        <v>B</v>
      </c>
      <c r="M116" s="158">
        <f ca="1">IFERROR(__xludf.DUMMYFUNCTION("""COMPUTED_VALUE"""),0.552083333333333)</f>
        <v>0.55208333333333304</v>
      </c>
      <c r="N116" t="str">
        <f ca="1">IFERROR(__xludf.DUMMYFUNCTION("""COMPUTED_VALUE"""),"B")</f>
        <v>B</v>
      </c>
      <c r="O116" t="str">
        <f ca="1">IFERROR(__xludf.DUMMYFUNCTION("""COMPUTED_VALUE"""),"")</f>
        <v/>
      </c>
      <c r="P116" t="str">
        <f ca="1">IFERROR(__xludf.DUMMYFUNCTION("""COMPUTED_VALUE"""),"")</f>
        <v/>
      </c>
      <c r="Q116" s="158">
        <f ca="1">IFERROR(__xludf.DUMMYFUNCTION("""COMPUTED_VALUE"""),0.520138888888888)</f>
        <v>0.52013888888888804</v>
      </c>
      <c r="R116" t="str">
        <f ca="1">IFERROR(__xludf.DUMMYFUNCTION("""COMPUTED_VALUE"""),"A")</f>
        <v>A</v>
      </c>
      <c r="S116" s="158">
        <f ca="1">IFERROR(__xludf.DUMMYFUNCTION("""COMPUTED_VALUE"""),0.558333333333333)</f>
        <v>0.55833333333333302</v>
      </c>
      <c r="T116" t="str">
        <f ca="1">IFERROR(__xludf.DUMMYFUNCTION("""COMPUTED_VALUE"""),"A")</f>
        <v>A</v>
      </c>
      <c r="U116" t="str">
        <f ca="1">IFERROR(__xludf.DUMMYFUNCTION("""COMPUTED_VALUE"""),"")</f>
        <v/>
      </c>
      <c r="V116" t="str">
        <f ca="1">IFERROR(__xludf.DUMMYFUNCTION("""COMPUTED_VALUE"""),"")</f>
        <v/>
      </c>
      <c r="W116" t="str">
        <f ca="1">IFERROR(__xludf.DUMMYFUNCTION("""COMPUTED_VALUE"""),"")</f>
        <v/>
      </c>
      <c r="X116" t="str">
        <f ca="1">IFERROR(__xludf.DUMMYFUNCTION("""COMPUTED_VALUE"""),"")</f>
        <v/>
      </c>
      <c r="Y116" t="str">
        <f ca="1">IFERROR(__xludf.DUMMYFUNCTION("""COMPUTED_VALUE"""),"SŠ")</f>
        <v>SŠ</v>
      </c>
      <c r="Z116" s="158" t="b">
        <f ca="1">IFERROR(__xludf.DUMMYFUNCTION("""COMPUTED_VALUE"""),FALSE)</f>
        <v>0</v>
      </c>
      <c r="AA116" t="b">
        <f ca="1">IFERROR(__xludf.DUMMYFUNCTION("""COMPUTED_VALUE"""),TRUE)</f>
        <v>1</v>
      </c>
      <c r="AB116" t="b">
        <f ca="1">IFERROR(__xludf.DUMMYFUNCTION("""COMPUTED_VALUE"""),FALSE)</f>
        <v>0</v>
      </c>
      <c r="AC116" t="b">
        <f ca="1">IFERROR(__xludf.DUMMYFUNCTION("""COMPUTED_VALUE"""),TRUE)</f>
        <v>1</v>
      </c>
      <c r="AD116" t="b">
        <f ca="1">IFERROR(__xludf.DUMMYFUNCTION("""COMPUTED_VALUE"""),FALSE)</f>
        <v>0</v>
      </c>
      <c r="AE116" t="b">
        <f ca="1">IFERROR(__xludf.DUMMYFUNCTION("""COMPUTED_VALUE"""),FALSE)</f>
        <v>0</v>
      </c>
      <c r="AF116" t="b">
        <f ca="1">IFERROR(__xludf.DUMMYFUNCTION("""COMPUTED_VALUE"""),FALSE)</f>
        <v>0</v>
      </c>
      <c r="AG116" t="str">
        <f ca="1">IFERROR(__xludf.DUMMYFUNCTION("""COMPUTED_VALUE"""),"Autonomní medvěd (bear rescue advance), Sprint - LEGO (drag race - Lego)")</f>
        <v>Autonomní medvěd (bear rescue advance), Sprint - LEGO (drag race - Lego)</v>
      </c>
    </row>
    <row r="117" spans="1:33" ht="13.2">
      <c r="A117">
        <f ca="1">IFERROR(__xludf.DUMMYFUNCTION("""COMPUTED_VALUE"""),120)</f>
        <v>120</v>
      </c>
      <c r="B117" t="str">
        <f ca="1">IFERROR(__xludf.DUMMYFUNCTION("""COMPUTED_VALUE"""),"Mělník")</f>
        <v>Mělník</v>
      </c>
      <c r="C117" t="str">
        <f ca="1">IFERROR(__xludf.DUMMYFUNCTION("""COMPUTED_VALUE"""),"Gymnázium Jana Palacha Mělník")</f>
        <v>Gymnázium Jana Palacha Mělník</v>
      </c>
      <c r="D117" t="str">
        <f ca="1">IFERROR(__xludf.DUMMYFUNCTION("""COMPUTED_VALUE"""),"RoboPalach")</f>
        <v>RoboPalach</v>
      </c>
      <c r="E117" t="str">
        <f ca="1">IFERROR(__xludf.DUMMYFUNCTION("""COMPUTED_VALUE"""),"---")</f>
        <v>---</v>
      </c>
      <c r="F117" t="str">
        <f ca="1">IFERROR(__xludf.DUMMYFUNCTION("""COMPUTED_VALUE"""),"")</f>
        <v/>
      </c>
      <c r="G117" t="str">
        <f ca="1">IFERROR(__xludf.DUMMYFUNCTION("""COMPUTED_VALUE"""),"---")</f>
        <v>---</v>
      </c>
      <c r="H117" t="str">
        <f ca="1">IFERROR(__xludf.DUMMYFUNCTION("""COMPUTED_VALUE"""),"")</f>
        <v/>
      </c>
      <c r="I117" t="str">
        <f ca="1">IFERROR(__xludf.DUMMYFUNCTION("""COMPUTED_VALUE"""),"---")</f>
        <v>---</v>
      </c>
      <c r="J117" t="str">
        <f ca="1">IFERROR(__xludf.DUMMYFUNCTION("""COMPUTED_VALUE"""),"")</f>
        <v/>
      </c>
      <c r="K117" t="str">
        <f ca="1">IFERROR(__xludf.DUMMYFUNCTION("""COMPUTED_VALUE"""),"")</f>
        <v/>
      </c>
      <c r="L117" t="str">
        <f ca="1">IFERROR(__xludf.DUMMYFUNCTION("""COMPUTED_VALUE"""),"")</f>
        <v/>
      </c>
      <c r="M117" t="str">
        <f ca="1">IFERROR(__xludf.DUMMYFUNCTION("""COMPUTED_VALUE"""),"")</f>
        <v/>
      </c>
      <c r="N117" t="str">
        <f ca="1">IFERROR(__xludf.DUMMYFUNCTION("""COMPUTED_VALUE"""),"")</f>
        <v/>
      </c>
      <c r="O117" t="str">
        <f ca="1">IFERROR(__xludf.DUMMYFUNCTION("""COMPUTED_VALUE"""),"")</f>
        <v/>
      </c>
      <c r="P117" t="str">
        <f ca="1">IFERROR(__xludf.DUMMYFUNCTION("""COMPUTED_VALUE"""),"")</f>
        <v/>
      </c>
      <c r="Q117" t="str">
        <f ca="1">IFERROR(__xludf.DUMMYFUNCTION("""COMPUTED_VALUE"""),"")</f>
        <v/>
      </c>
      <c r="R117" t="str">
        <f ca="1">IFERROR(__xludf.DUMMYFUNCTION("""COMPUTED_VALUE"""),"")</f>
        <v/>
      </c>
      <c r="S117" t="str">
        <f ca="1">IFERROR(__xludf.DUMMYFUNCTION("""COMPUTED_VALUE"""),"")</f>
        <v/>
      </c>
      <c r="T117" t="str">
        <f ca="1">IFERROR(__xludf.DUMMYFUNCTION("""COMPUTED_VALUE"""),"")</f>
        <v/>
      </c>
      <c r="U117" s="158">
        <f ca="1">IFERROR(__xludf.DUMMYFUNCTION("""COMPUTED_VALUE"""),0.534722222222222)</f>
        <v>0.53472222222222199</v>
      </c>
      <c r="V117" t="str">
        <f ca="1">IFERROR(__xludf.DUMMYFUNCTION("""COMPUTED_VALUE"""),"A")</f>
        <v>A</v>
      </c>
      <c r="W117" s="158">
        <f ca="1">IFERROR(__xludf.DUMMYFUNCTION("""COMPUTED_VALUE"""),0.572916666666666)</f>
        <v>0.57291666666666596</v>
      </c>
      <c r="X117" t="str">
        <f ca="1">IFERROR(__xludf.DUMMYFUNCTION("""COMPUTED_VALUE"""),"A")</f>
        <v>A</v>
      </c>
      <c r="Y117" t="str">
        <f ca="1">IFERROR(__xludf.DUMMYFUNCTION("""COMPUTED_VALUE"""),"SŠ")</f>
        <v>SŠ</v>
      </c>
      <c r="Z117" s="158" t="b">
        <f ca="1">IFERROR(__xludf.DUMMYFUNCTION("""COMPUTED_VALUE"""),FALSE)</f>
        <v>0</v>
      </c>
      <c r="AA117" t="b">
        <f ca="1">IFERROR(__xludf.DUMMYFUNCTION("""COMPUTED_VALUE"""),FALSE)</f>
        <v>0</v>
      </c>
      <c r="AB117" t="b">
        <f ca="1">IFERROR(__xludf.DUMMYFUNCTION("""COMPUTED_VALUE"""),FALSE)</f>
        <v>0</v>
      </c>
      <c r="AC117" t="b">
        <f ca="1">IFERROR(__xludf.DUMMYFUNCTION("""COMPUTED_VALUE"""),FALSE)</f>
        <v>0</v>
      </c>
      <c r="AD117" t="b">
        <f ca="1">IFERROR(__xludf.DUMMYFUNCTION("""COMPUTED_VALUE"""),TRUE)</f>
        <v>1</v>
      </c>
      <c r="AE117" t="b">
        <f ca="1">IFERROR(__xludf.DUMMYFUNCTION("""COMPUTED_VALUE"""),FALSE)</f>
        <v>0</v>
      </c>
      <c r="AF117" t="b">
        <f ca="1">IFERROR(__xludf.DUMMYFUNCTION("""COMPUTED_VALUE"""),FALSE)</f>
        <v>0</v>
      </c>
      <c r="AG117" t="str">
        <f ca="1">IFERROR(__xludf.DUMMYFUNCTION("""COMPUTED_VALUE"""),"Sprint - NeLEGOvý (drag race - Non Lego)")</f>
        <v>Sprint - NeLEGOvý (drag race - Non Lego)</v>
      </c>
    </row>
    <row r="118" spans="1:33" ht="13.2">
      <c r="A118">
        <f ca="1">IFERROR(__xludf.DUMMYFUNCTION("""COMPUTED_VALUE"""),121)</f>
        <v>121</v>
      </c>
      <c r="B118" t="str">
        <f ca="1">IFERROR(__xludf.DUMMYFUNCTION("""COMPUTED_VALUE"""),"Jihlava")</f>
        <v>Jihlava</v>
      </c>
      <c r="C118" t="str">
        <f ca="1">IFERROR(__xludf.DUMMYFUNCTION("""COMPUTED_VALUE"""),"Gymnázium Jihlava")</f>
        <v>Gymnázium Jihlava</v>
      </c>
      <c r="D118" t="str">
        <f ca="1">IFERROR(__xludf.DUMMYFUNCTION("""COMPUTED_VALUE"""),"Inženýři")</f>
        <v>Inženýři</v>
      </c>
      <c r="E118" t="str">
        <f ca="1">IFERROR(__xludf.DUMMYFUNCTION("""COMPUTED_VALUE"""),"---")</f>
        <v>---</v>
      </c>
      <c r="F118" t="str">
        <f ca="1">IFERROR(__xludf.DUMMYFUNCTION("""COMPUTED_VALUE"""),"")</f>
        <v/>
      </c>
      <c r="G118" t="str">
        <f ca="1">IFERROR(__xludf.DUMMYFUNCTION("""COMPUTED_VALUE"""),"---")</f>
        <v>---</v>
      </c>
      <c r="H118" t="str">
        <f ca="1">IFERROR(__xludf.DUMMYFUNCTION("""COMPUTED_VALUE"""),"")</f>
        <v/>
      </c>
      <c r="I118" t="str">
        <f ca="1">IFERROR(__xludf.DUMMYFUNCTION("""COMPUTED_VALUE"""),"---")</f>
        <v>---</v>
      </c>
      <c r="J118" t="str">
        <f ca="1">IFERROR(__xludf.DUMMYFUNCTION("""COMPUTED_VALUE"""),"")</f>
        <v/>
      </c>
      <c r="K118" t="str">
        <f ca="1">IFERROR(__xludf.DUMMYFUNCTION("""COMPUTED_VALUE"""),"")</f>
        <v/>
      </c>
      <c r="L118" t="str">
        <f ca="1">IFERROR(__xludf.DUMMYFUNCTION("""COMPUTED_VALUE"""),"")</f>
        <v/>
      </c>
      <c r="M118" t="str">
        <f ca="1">IFERROR(__xludf.DUMMYFUNCTION("""COMPUTED_VALUE"""),"")</f>
        <v/>
      </c>
      <c r="N118" t="str">
        <f ca="1">IFERROR(__xludf.DUMMYFUNCTION("""COMPUTED_VALUE"""),"")</f>
        <v/>
      </c>
      <c r="O118" t="str">
        <f ca="1">IFERROR(__xludf.DUMMYFUNCTION("""COMPUTED_VALUE"""),"")</f>
        <v/>
      </c>
      <c r="P118" t="str">
        <f ca="1">IFERROR(__xludf.DUMMYFUNCTION("""COMPUTED_VALUE"""),"")</f>
        <v/>
      </c>
      <c r="Q118" t="str">
        <f ca="1">IFERROR(__xludf.DUMMYFUNCTION("""COMPUTED_VALUE"""),"")</f>
        <v/>
      </c>
      <c r="R118" t="str">
        <f ca="1">IFERROR(__xludf.DUMMYFUNCTION("""COMPUTED_VALUE"""),"")</f>
        <v/>
      </c>
      <c r="S118" t="str">
        <f ca="1">IFERROR(__xludf.DUMMYFUNCTION("""COMPUTED_VALUE"""),"")</f>
        <v/>
      </c>
      <c r="T118" t="str">
        <f ca="1">IFERROR(__xludf.DUMMYFUNCTION("""COMPUTED_VALUE"""),"")</f>
        <v/>
      </c>
      <c r="U118" t="str">
        <f ca="1">IFERROR(__xludf.DUMMYFUNCTION("""COMPUTED_VALUE"""),"")</f>
        <v/>
      </c>
      <c r="V118" t="str">
        <f ca="1">IFERROR(__xludf.DUMMYFUNCTION("""COMPUTED_VALUE"""),"")</f>
        <v/>
      </c>
      <c r="W118" t="str">
        <f ca="1">IFERROR(__xludf.DUMMYFUNCTION("""COMPUTED_VALUE"""),"")</f>
        <v/>
      </c>
      <c r="X118" t="str">
        <f ca="1">IFERROR(__xludf.DUMMYFUNCTION("""COMPUTED_VALUE"""),"")</f>
        <v/>
      </c>
      <c r="Y118" t="str">
        <f ca="1">IFERROR(__xludf.DUMMYFUNCTION("""COMPUTED_VALUE"""),"SŠ")</f>
        <v>SŠ</v>
      </c>
      <c r="Z118" s="158" t="b">
        <f ca="1">IFERROR(__xludf.DUMMYFUNCTION("""COMPUTED_VALUE"""),FALSE)</f>
        <v>0</v>
      </c>
      <c r="AA118" t="b">
        <f ca="1">IFERROR(__xludf.DUMMYFUNCTION("""COMPUTED_VALUE"""),FALSE)</f>
        <v>0</v>
      </c>
      <c r="AB118" t="b">
        <f ca="1">IFERROR(__xludf.DUMMYFUNCTION("""COMPUTED_VALUE"""),FALSE)</f>
        <v>0</v>
      </c>
      <c r="AC118" t="b">
        <f ca="1">IFERROR(__xludf.DUMMYFUNCTION("""COMPUTED_VALUE"""),FALSE)</f>
        <v>0</v>
      </c>
      <c r="AD118" t="b">
        <f ca="1">IFERROR(__xludf.DUMMYFUNCTION("""COMPUTED_VALUE"""),FALSE)</f>
        <v>0</v>
      </c>
      <c r="AE118" t="b">
        <f ca="1">IFERROR(__xludf.DUMMYFUNCTION("""COMPUTED_VALUE"""),TRUE)</f>
        <v>1</v>
      </c>
      <c r="AF118" t="b">
        <f ca="1">IFERROR(__xludf.DUMMYFUNCTION("""COMPUTED_VALUE"""),FALSE)</f>
        <v>0</v>
      </c>
      <c r="AG118" t="str">
        <f ca="1">IFERROR(__xludf.DUMMYFUNCTION("""COMPUTED_VALUE"""),"Freestyle")</f>
        <v>Freestyle</v>
      </c>
    </row>
    <row r="119" spans="1:33" ht="13.2">
      <c r="A119">
        <f ca="1">IFERROR(__xludf.DUMMYFUNCTION("""COMPUTED_VALUE"""),122)</f>
        <v>122</v>
      </c>
      <c r="B119" t="str">
        <f ca="1">IFERROR(__xludf.DUMMYFUNCTION("""COMPUTED_VALUE"""),"Jihlava")</f>
        <v>Jihlava</v>
      </c>
      <c r="C119" t="str">
        <f ca="1">IFERROR(__xludf.DUMMYFUNCTION("""COMPUTED_VALUE"""),"Gymnázium Jihlava")</f>
        <v>Gymnázium Jihlava</v>
      </c>
      <c r="D119" t="str">
        <f ca="1">IFERROR(__xludf.DUMMYFUNCTION("""COMPUTED_VALUE"""),"Boris")</f>
        <v>Boris</v>
      </c>
      <c r="E119" s="158">
        <f ca="1">IFERROR(__xludf.DUMMYFUNCTION("""COMPUTED_VALUE"""),0.438194444444444)</f>
        <v>0.438194444444444</v>
      </c>
      <c r="F119" t="str">
        <f ca="1">IFERROR(__xludf.DUMMYFUNCTION("""COMPUTED_VALUE"""),"B")</f>
        <v>B</v>
      </c>
      <c r="G119" s="158">
        <f ca="1">IFERROR(__xludf.DUMMYFUNCTION("""COMPUTED_VALUE"""),0.508333333333333)</f>
        <v>0.50833333333333297</v>
      </c>
      <c r="H119" t="str">
        <f ca="1">IFERROR(__xludf.DUMMYFUNCTION("""COMPUTED_VALUE"""),"B")</f>
        <v>B</v>
      </c>
      <c r="I119" s="158">
        <f ca="1">IFERROR(__xludf.DUMMYFUNCTION("""COMPUTED_VALUE"""),0.583333333333333)</f>
        <v>0.58333333333333304</v>
      </c>
      <c r="J119" t="str">
        <f ca="1">IFERROR(__xludf.DUMMYFUNCTION("""COMPUTED_VALUE"""),"B")</f>
        <v>B</v>
      </c>
      <c r="K119" t="str">
        <f ca="1">IFERROR(__xludf.DUMMYFUNCTION("""COMPUTED_VALUE"""),"")</f>
        <v/>
      </c>
      <c r="L119" t="str">
        <f ca="1">IFERROR(__xludf.DUMMYFUNCTION("""COMPUTED_VALUE"""),"")</f>
        <v/>
      </c>
      <c r="M119" t="str">
        <f ca="1">IFERROR(__xludf.DUMMYFUNCTION("""COMPUTED_VALUE"""),"")</f>
        <v/>
      </c>
      <c r="N119" t="str">
        <f ca="1">IFERROR(__xludf.DUMMYFUNCTION("""COMPUTED_VALUE"""),"")</f>
        <v/>
      </c>
      <c r="O119" t="str">
        <f ca="1">IFERROR(__xludf.DUMMYFUNCTION("""COMPUTED_VALUE"""),"")</f>
        <v/>
      </c>
      <c r="P119" t="str">
        <f ca="1">IFERROR(__xludf.DUMMYFUNCTION("""COMPUTED_VALUE"""),"")</f>
        <v/>
      </c>
      <c r="Q119" t="str">
        <f ca="1">IFERROR(__xludf.DUMMYFUNCTION("""COMPUTED_VALUE"""),"")</f>
        <v/>
      </c>
      <c r="R119" t="str">
        <f ca="1">IFERROR(__xludf.DUMMYFUNCTION("""COMPUTED_VALUE"""),"")</f>
        <v/>
      </c>
      <c r="S119" t="str">
        <f ca="1">IFERROR(__xludf.DUMMYFUNCTION("""COMPUTED_VALUE"""),"")</f>
        <v/>
      </c>
      <c r="T119" t="str">
        <f ca="1">IFERROR(__xludf.DUMMYFUNCTION("""COMPUTED_VALUE"""),"")</f>
        <v/>
      </c>
      <c r="U119" t="str">
        <f ca="1">IFERROR(__xludf.DUMMYFUNCTION("""COMPUTED_VALUE"""),"")</f>
        <v/>
      </c>
      <c r="V119" t="str">
        <f ca="1">IFERROR(__xludf.DUMMYFUNCTION("""COMPUTED_VALUE"""),"")</f>
        <v/>
      </c>
      <c r="W119" t="str">
        <f ca="1">IFERROR(__xludf.DUMMYFUNCTION("""COMPUTED_VALUE"""),"")</f>
        <v/>
      </c>
      <c r="X119" t="str">
        <f ca="1">IFERROR(__xludf.DUMMYFUNCTION("""COMPUTED_VALUE"""),"")</f>
        <v/>
      </c>
      <c r="Y119" t="str">
        <f ca="1">IFERROR(__xludf.DUMMYFUNCTION("""COMPUTED_VALUE"""),"SŠ")</f>
        <v>SŠ</v>
      </c>
      <c r="Z119" t="b">
        <f ca="1">IFERROR(__xludf.DUMMYFUNCTION("""COMPUTED_VALUE"""),TRUE)</f>
        <v>1</v>
      </c>
      <c r="AA119" t="b">
        <f ca="1">IFERROR(__xludf.DUMMYFUNCTION("""COMPUTED_VALUE"""),FALSE)</f>
        <v>0</v>
      </c>
      <c r="AB119" t="b">
        <f ca="1">IFERROR(__xludf.DUMMYFUNCTION("""COMPUTED_VALUE"""),FALSE)</f>
        <v>0</v>
      </c>
      <c r="AC119" t="b">
        <f ca="1">IFERROR(__xludf.DUMMYFUNCTION("""COMPUTED_VALUE"""),FALSE)</f>
        <v>0</v>
      </c>
      <c r="AD119" t="b">
        <f ca="1">IFERROR(__xludf.DUMMYFUNCTION("""COMPUTED_VALUE"""),FALSE)</f>
        <v>0</v>
      </c>
      <c r="AE119" t="b">
        <f ca="1">IFERROR(__xludf.DUMMYFUNCTION("""COMPUTED_VALUE"""),FALSE)</f>
        <v>0</v>
      </c>
      <c r="AF119" t="b">
        <f ca="1">IFERROR(__xludf.DUMMYFUNCTION("""COMPUTED_VALUE"""),FALSE)</f>
        <v>0</v>
      </c>
      <c r="AG119" t="str">
        <f ca="1">IFERROR(__xludf.DUMMYFUNCTION("""COMPUTED_VALUE"""),"Čára (line follower)")</f>
        <v>Čára (line follower)</v>
      </c>
    </row>
    <row r="120" spans="1:33" ht="13.2">
      <c r="A120">
        <f ca="1">IFERROR(__xludf.DUMMYFUNCTION("""COMPUTED_VALUE"""),123)</f>
        <v>123</v>
      </c>
      <c r="B120" t="str">
        <f ca="1">IFERROR(__xludf.DUMMYFUNCTION("""COMPUTED_VALUE"""),"Jihlava")</f>
        <v>Jihlava</v>
      </c>
      <c r="C120" t="str">
        <f ca="1">IFERROR(__xludf.DUMMYFUNCTION("""COMPUTED_VALUE"""),"Gymnázium Jihlava")</f>
        <v>Gymnázium Jihlava</v>
      </c>
      <c r="D120" t="str">
        <f ca="1">IFERROR(__xludf.DUMMYFUNCTION("""COMPUTED_VALUE"""),"Bez problému")</f>
        <v>Bez problému</v>
      </c>
      <c r="E120" t="str">
        <f ca="1">IFERROR(__xludf.DUMMYFUNCTION("""COMPUTED_VALUE"""),"---")</f>
        <v>---</v>
      </c>
      <c r="F120" t="str">
        <f ca="1">IFERROR(__xludf.DUMMYFUNCTION("""COMPUTED_VALUE"""),"")</f>
        <v/>
      </c>
      <c r="G120" t="str">
        <f ca="1">IFERROR(__xludf.DUMMYFUNCTION("""COMPUTED_VALUE"""),"---")</f>
        <v>---</v>
      </c>
      <c r="H120" t="str">
        <f ca="1">IFERROR(__xludf.DUMMYFUNCTION("""COMPUTED_VALUE"""),"")</f>
        <v/>
      </c>
      <c r="I120" t="str">
        <f ca="1">IFERROR(__xludf.DUMMYFUNCTION("""COMPUTED_VALUE"""),"---")</f>
        <v>---</v>
      </c>
      <c r="J120" t="str">
        <f ca="1">IFERROR(__xludf.DUMMYFUNCTION("""COMPUTED_VALUE"""),"")</f>
        <v/>
      </c>
      <c r="K120" t="str">
        <f ca="1">IFERROR(__xludf.DUMMYFUNCTION("""COMPUTED_VALUE"""),"")</f>
        <v/>
      </c>
      <c r="L120" t="str">
        <f ca="1">IFERROR(__xludf.DUMMYFUNCTION("""COMPUTED_VALUE"""),"")</f>
        <v/>
      </c>
      <c r="M120" t="str">
        <f ca="1">IFERROR(__xludf.DUMMYFUNCTION("""COMPUTED_VALUE"""),"")</f>
        <v/>
      </c>
      <c r="N120" t="str">
        <f ca="1">IFERROR(__xludf.DUMMYFUNCTION("""COMPUTED_VALUE"""),"")</f>
        <v/>
      </c>
      <c r="O120" s="158">
        <f ca="1">IFERROR(__xludf.DUMMYFUNCTION("""COMPUTED_VALUE"""),0.495833333333333)</f>
        <v>0.49583333333333302</v>
      </c>
      <c r="P120" t="str">
        <f ca="1">IFERROR(__xludf.DUMMYFUNCTION("""COMPUTED_VALUE"""),"A")</f>
        <v>A</v>
      </c>
      <c r="Q120" t="str">
        <f ca="1">IFERROR(__xludf.DUMMYFUNCTION("""COMPUTED_VALUE"""),"")</f>
        <v/>
      </c>
      <c r="R120" t="str">
        <f ca="1">IFERROR(__xludf.DUMMYFUNCTION("""COMPUTED_VALUE"""),"")</f>
        <v/>
      </c>
      <c r="S120" t="str">
        <f ca="1">IFERROR(__xludf.DUMMYFUNCTION("""COMPUTED_VALUE"""),"")</f>
        <v/>
      </c>
      <c r="T120" t="str">
        <f ca="1">IFERROR(__xludf.DUMMYFUNCTION("""COMPUTED_VALUE"""),"")</f>
        <v/>
      </c>
      <c r="U120" t="str">
        <f ca="1">IFERROR(__xludf.DUMMYFUNCTION("""COMPUTED_VALUE"""),"")</f>
        <v/>
      </c>
      <c r="V120" t="str">
        <f ca="1">IFERROR(__xludf.DUMMYFUNCTION("""COMPUTED_VALUE"""),"")</f>
        <v/>
      </c>
      <c r="W120" t="str">
        <f ca="1">IFERROR(__xludf.DUMMYFUNCTION("""COMPUTED_VALUE"""),"")</f>
        <v/>
      </c>
      <c r="X120" t="str">
        <f ca="1">IFERROR(__xludf.DUMMYFUNCTION("""COMPUTED_VALUE"""),"")</f>
        <v/>
      </c>
      <c r="Y120" t="str">
        <f ca="1">IFERROR(__xludf.DUMMYFUNCTION("""COMPUTED_VALUE"""),"SŠ")</f>
        <v>SŠ</v>
      </c>
      <c r="Z120" s="158" t="b">
        <f ca="1">IFERROR(__xludf.DUMMYFUNCTION("""COMPUTED_VALUE"""),FALSE)</f>
        <v>0</v>
      </c>
      <c r="AA120" t="b">
        <f ca="1">IFERROR(__xludf.DUMMYFUNCTION("""COMPUTED_VALUE"""),FALSE)</f>
        <v>0</v>
      </c>
      <c r="AB120" t="b">
        <f ca="1">IFERROR(__xludf.DUMMYFUNCTION("""COMPUTED_VALUE"""),TRUE)</f>
        <v>1</v>
      </c>
      <c r="AC120" t="b">
        <f ca="1">IFERROR(__xludf.DUMMYFUNCTION("""COMPUTED_VALUE"""),FALSE)</f>
        <v>0</v>
      </c>
      <c r="AD120" t="b">
        <f ca="1">IFERROR(__xludf.DUMMYFUNCTION("""COMPUTED_VALUE"""),FALSE)</f>
        <v>0</v>
      </c>
      <c r="AE120" t="b">
        <f ca="1">IFERROR(__xludf.DUMMYFUNCTION("""COMPUTED_VALUE"""),FALSE)</f>
        <v>0</v>
      </c>
      <c r="AF120" t="b">
        <f ca="1">IFERROR(__xludf.DUMMYFUNCTION("""COMPUTED_VALUE"""),FALSE)</f>
        <v>0</v>
      </c>
      <c r="AG120" t="str">
        <f ca="1">IFERROR(__xludf.DUMMYFUNCTION("""COMPUTED_VALUE"""),"Dálkový medvěd (bear rescue)")</f>
        <v>Dálkový medvěd (bear rescue)</v>
      </c>
    </row>
    <row r="121" spans="1:33" ht="13.2">
      <c r="A121">
        <f ca="1">IFERROR(__xludf.DUMMYFUNCTION("""COMPUTED_VALUE"""),124)</f>
        <v>124</v>
      </c>
      <c r="B121" t="str">
        <f ca="1">IFERROR(__xludf.DUMMYFUNCTION("""COMPUTED_VALUE"""),"Český Těšín")</f>
        <v>Český Těšín</v>
      </c>
      <c r="C121" t="str">
        <f ca="1">IFERROR(__xludf.DUMMYFUNCTION("""COMPUTED_VALUE"""),"Gymnázium Josefa Božka Český Těšín")</f>
        <v>Gymnázium Josefa Božka Český Těšín</v>
      </c>
      <c r="D121" t="str">
        <f ca="1">IFERROR(__xludf.DUMMYFUNCTION("""COMPUTED_VALUE"""),"GMCT major")</f>
        <v>GMCT major</v>
      </c>
      <c r="E121" s="158">
        <f ca="1">IFERROR(__xludf.DUMMYFUNCTION("""COMPUTED_VALUE"""),0.438194444444444)</f>
        <v>0.438194444444444</v>
      </c>
      <c r="F121" t="str">
        <f ca="1">IFERROR(__xludf.DUMMYFUNCTION("""COMPUTED_VALUE"""),"A")</f>
        <v>A</v>
      </c>
      <c r="G121" s="158">
        <f ca="1">IFERROR(__xludf.DUMMYFUNCTION("""COMPUTED_VALUE"""),0.508333333333333)</f>
        <v>0.50833333333333297</v>
      </c>
      <c r="H121" t="str">
        <f ca="1">IFERROR(__xludf.DUMMYFUNCTION("""COMPUTED_VALUE"""),"A")</f>
        <v>A</v>
      </c>
      <c r="I121" s="158">
        <f ca="1">IFERROR(__xludf.DUMMYFUNCTION("""COMPUTED_VALUE"""),0.583333333333333)</f>
        <v>0.58333333333333304</v>
      </c>
      <c r="J121" t="str">
        <f ca="1">IFERROR(__xludf.DUMMYFUNCTION("""COMPUTED_VALUE"""),"A")</f>
        <v>A</v>
      </c>
      <c r="K121" s="158">
        <f ca="1">IFERROR(__xludf.DUMMYFUNCTION("""COMPUTED_VALUE"""),0.463888888888888)</f>
        <v>0.46388888888888802</v>
      </c>
      <c r="L121" t="str">
        <f ca="1">IFERROR(__xludf.DUMMYFUNCTION("""COMPUTED_VALUE"""),"A")</f>
        <v>A</v>
      </c>
      <c r="M121" s="158">
        <f ca="1">IFERROR(__xludf.DUMMYFUNCTION("""COMPUTED_VALUE"""),0.554166666666666)</f>
        <v>0.55416666666666603</v>
      </c>
      <c r="N121" t="str">
        <f ca="1">IFERROR(__xludf.DUMMYFUNCTION("""COMPUTED_VALUE"""),"A")</f>
        <v>A</v>
      </c>
      <c r="O121" s="158">
        <f ca="1">IFERROR(__xludf.DUMMYFUNCTION("""COMPUTED_VALUE"""),0.495833333333333)</f>
        <v>0.49583333333333302</v>
      </c>
      <c r="P121" t="str">
        <f ca="1">IFERROR(__xludf.DUMMYFUNCTION("""COMPUTED_VALUE"""),"B")</f>
        <v>B</v>
      </c>
      <c r="Q121" s="158">
        <f ca="1">IFERROR(__xludf.DUMMYFUNCTION("""COMPUTED_VALUE"""),0.520138888888888)</f>
        <v>0.52013888888888804</v>
      </c>
      <c r="R121" t="str">
        <f ca="1">IFERROR(__xludf.DUMMYFUNCTION("""COMPUTED_VALUE"""),"B")</f>
        <v>B</v>
      </c>
      <c r="S121" s="158">
        <f ca="1">IFERROR(__xludf.DUMMYFUNCTION("""COMPUTED_VALUE"""),0.558333333333333)</f>
        <v>0.55833333333333302</v>
      </c>
      <c r="T121" t="str">
        <f ca="1">IFERROR(__xludf.DUMMYFUNCTION("""COMPUTED_VALUE"""),"B")</f>
        <v>B</v>
      </c>
      <c r="U121" t="str">
        <f ca="1">IFERROR(__xludf.DUMMYFUNCTION("""COMPUTED_VALUE"""),"")</f>
        <v/>
      </c>
      <c r="V121" t="str">
        <f ca="1">IFERROR(__xludf.DUMMYFUNCTION("""COMPUTED_VALUE"""),"")</f>
        <v/>
      </c>
      <c r="W121" t="str">
        <f ca="1">IFERROR(__xludf.DUMMYFUNCTION("""COMPUTED_VALUE"""),"")</f>
        <v/>
      </c>
      <c r="X121" t="str">
        <f ca="1">IFERROR(__xludf.DUMMYFUNCTION("""COMPUTED_VALUE"""),"")</f>
        <v/>
      </c>
      <c r="Y121" t="str">
        <f ca="1">IFERROR(__xludf.DUMMYFUNCTION("""COMPUTED_VALUE"""),"SŠ")</f>
        <v>SŠ</v>
      </c>
      <c r="Z121" t="b">
        <f ca="1">IFERROR(__xludf.DUMMYFUNCTION("""COMPUTED_VALUE"""),TRUE)</f>
        <v>1</v>
      </c>
      <c r="AA121" t="b">
        <f ca="1">IFERROR(__xludf.DUMMYFUNCTION("""COMPUTED_VALUE"""),FALSE)</f>
        <v>0</v>
      </c>
      <c r="AB121" t="b">
        <f ca="1">IFERROR(__xludf.DUMMYFUNCTION("""COMPUTED_VALUE"""),TRUE)</f>
        <v>1</v>
      </c>
      <c r="AC121" t="b">
        <f ca="1">IFERROR(__xludf.DUMMYFUNCTION("""COMPUTED_VALUE"""),TRUE)</f>
        <v>1</v>
      </c>
      <c r="AD121" t="b">
        <f ca="1">IFERROR(__xludf.DUMMYFUNCTION("""COMPUTED_VALUE"""),FALSE)</f>
        <v>0</v>
      </c>
      <c r="AE121" t="b">
        <f ca="1">IFERROR(__xludf.DUMMYFUNCTION("""COMPUTED_VALUE"""),FALSE)</f>
        <v>0</v>
      </c>
      <c r="AF121" t="b">
        <f ca="1">IFERROR(__xludf.DUMMYFUNCTION("""COMPUTED_VALUE"""),FALSE)</f>
        <v>0</v>
      </c>
      <c r="AG121" t="str">
        <f ca="1">IFERROR(__xludf.DUMMYFUNCTION("""COMPUTED_VALUE"""),"Čára (line follower), Dálkový medvěd (bear rescue), Autonomní medvěd (bear rescue advance), Sprint - LEGO (drag race - Lego)")</f>
        <v>Čára (line follower), Dálkový medvěd (bear rescue), Autonomní medvěd (bear rescue advance), Sprint - LEGO (drag race - Lego)</v>
      </c>
    </row>
    <row r="122" spans="1:33" ht="13.2">
      <c r="A122">
        <f ca="1">IFERROR(__xludf.DUMMYFUNCTION("""COMPUTED_VALUE"""),125)</f>
        <v>125</v>
      </c>
      <c r="B122" t="str">
        <f ca="1">IFERROR(__xludf.DUMMYFUNCTION("""COMPUTED_VALUE"""),"Český Těšín")</f>
        <v>Český Těšín</v>
      </c>
      <c r="C122" t="str">
        <f ca="1">IFERROR(__xludf.DUMMYFUNCTION("""COMPUTED_VALUE"""),"Gymnázium Josefa Božka Český Těšín")</f>
        <v>Gymnázium Josefa Božka Český Těšín</v>
      </c>
      <c r="D122" t="str">
        <f ca="1">IFERROR(__xludf.DUMMYFUNCTION("""COMPUTED_VALUE"""),"GMCT minor")</f>
        <v>GMCT minor</v>
      </c>
      <c r="E122" t="str">
        <f ca="1">IFERROR(__xludf.DUMMYFUNCTION("""COMPUTED_VALUE"""),"---")</f>
        <v>---</v>
      </c>
      <c r="F122" t="str">
        <f ca="1">IFERROR(__xludf.DUMMYFUNCTION("""COMPUTED_VALUE"""),"")</f>
        <v/>
      </c>
      <c r="G122" t="str">
        <f ca="1">IFERROR(__xludf.DUMMYFUNCTION("""COMPUTED_VALUE"""),"---")</f>
        <v>---</v>
      </c>
      <c r="H122" t="str">
        <f ca="1">IFERROR(__xludf.DUMMYFUNCTION("""COMPUTED_VALUE"""),"")</f>
        <v/>
      </c>
      <c r="I122" t="str">
        <f ca="1">IFERROR(__xludf.DUMMYFUNCTION("""COMPUTED_VALUE"""),"---")</f>
        <v>---</v>
      </c>
      <c r="J122" t="str">
        <f ca="1">IFERROR(__xludf.DUMMYFUNCTION("""COMPUTED_VALUE"""),"")</f>
        <v/>
      </c>
      <c r="K122" t="str">
        <f ca="1">IFERROR(__xludf.DUMMYFUNCTION("""COMPUTED_VALUE"""),"")</f>
        <v/>
      </c>
      <c r="L122" t="str">
        <f ca="1">IFERROR(__xludf.DUMMYFUNCTION("""COMPUTED_VALUE"""),"")</f>
        <v/>
      </c>
      <c r="M122" t="str">
        <f ca="1">IFERROR(__xludf.DUMMYFUNCTION("""COMPUTED_VALUE"""),"")</f>
        <v/>
      </c>
      <c r="N122" t="str">
        <f ca="1">IFERROR(__xludf.DUMMYFUNCTION("""COMPUTED_VALUE"""),"")</f>
        <v/>
      </c>
      <c r="O122" t="str">
        <f ca="1">IFERROR(__xludf.DUMMYFUNCTION("""COMPUTED_VALUE"""),"")</f>
        <v/>
      </c>
      <c r="P122" t="str">
        <f ca="1">IFERROR(__xludf.DUMMYFUNCTION("""COMPUTED_VALUE"""),"")</f>
        <v/>
      </c>
      <c r="Q122" t="str">
        <f ca="1">IFERROR(__xludf.DUMMYFUNCTION("""COMPUTED_VALUE"""),"")</f>
        <v/>
      </c>
      <c r="R122" t="str">
        <f ca="1">IFERROR(__xludf.DUMMYFUNCTION("""COMPUTED_VALUE"""),"")</f>
        <v/>
      </c>
      <c r="S122" t="str">
        <f ca="1">IFERROR(__xludf.DUMMYFUNCTION("""COMPUTED_VALUE"""),"")</f>
        <v/>
      </c>
      <c r="T122" t="str">
        <f ca="1">IFERROR(__xludf.DUMMYFUNCTION("""COMPUTED_VALUE"""),"")</f>
        <v/>
      </c>
      <c r="U122" t="str">
        <f ca="1">IFERROR(__xludf.DUMMYFUNCTION("""COMPUTED_VALUE"""),"")</f>
        <v/>
      </c>
      <c r="V122" t="str">
        <f ca="1">IFERROR(__xludf.DUMMYFUNCTION("""COMPUTED_VALUE"""),"")</f>
        <v/>
      </c>
      <c r="W122" t="str">
        <f ca="1">IFERROR(__xludf.DUMMYFUNCTION("""COMPUTED_VALUE"""),"")</f>
        <v/>
      </c>
      <c r="X122" t="str">
        <f ca="1">IFERROR(__xludf.DUMMYFUNCTION("""COMPUTED_VALUE"""),"")</f>
        <v/>
      </c>
      <c r="Y122" t="str">
        <f ca="1">IFERROR(__xludf.DUMMYFUNCTION("""COMPUTED_VALUE"""),"ZŠ")</f>
        <v>ZŠ</v>
      </c>
      <c r="Z122" s="158" t="b">
        <f ca="1">IFERROR(__xludf.DUMMYFUNCTION("""COMPUTED_VALUE"""),FALSE)</f>
        <v>0</v>
      </c>
      <c r="AA122" t="b">
        <f ca="1">IFERROR(__xludf.DUMMYFUNCTION("""COMPUTED_VALUE"""),FALSE)</f>
        <v>0</v>
      </c>
      <c r="AB122" t="b">
        <f ca="1">IFERROR(__xludf.DUMMYFUNCTION("""COMPUTED_VALUE"""),FALSE)</f>
        <v>0</v>
      </c>
      <c r="AC122" t="b">
        <f ca="1">IFERROR(__xludf.DUMMYFUNCTION("""COMPUTED_VALUE"""),FALSE)</f>
        <v>0</v>
      </c>
      <c r="AD122" t="b">
        <f ca="1">IFERROR(__xludf.DUMMYFUNCTION("""COMPUTED_VALUE"""),FALSE)</f>
        <v>0</v>
      </c>
      <c r="AE122" t="b">
        <f ca="1">IFERROR(__xludf.DUMMYFUNCTION("""COMPUTED_VALUE"""),TRUE)</f>
        <v>1</v>
      </c>
      <c r="AF122" t="b">
        <f ca="1">IFERROR(__xludf.DUMMYFUNCTION("""COMPUTED_VALUE"""),FALSE)</f>
        <v>0</v>
      </c>
      <c r="AG122" t="str">
        <f ca="1">IFERROR(__xludf.DUMMYFUNCTION("""COMPUTED_VALUE"""),"Freestyle")</f>
        <v>Freestyle</v>
      </c>
    </row>
    <row r="123" spans="1:33" ht="13.2">
      <c r="A123">
        <f ca="1">IFERROR(__xludf.DUMMYFUNCTION("""COMPUTED_VALUE"""),126)</f>
        <v>126</v>
      </c>
      <c r="B123" t="str">
        <f ca="1">IFERROR(__xludf.DUMMYFUNCTION("""COMPUTED_VALUE"""),"Lanškroun")</f>
        <v>Lanškroun</v>
      </c>
      <c r="C123" t="str">
        <f ca="1">IFERROR(__xludf.DUMMYFUNCTION("""COMPUTED_VALUE"""),"Gymnázium Lanškroun")</f>
        <v>Gymnázium Lanškroun</v>
      </c>
      <c r="D123" t="str">
        <f ca="1">IFERROR(__xludf.DUMMYFUNCTION("""COMPUTED_VALUE"""),"ZlyHoch Gang")</f>
        <v>ZlyHoch Gang</v>
      </c>
      <c r="E123" t="str">
        <f ca="1">IFERROR(__xludf.DUMMYFUNCTION("""COMPUTED_VALUE"""),"---")</f>
        <v>---</v>
      </c>
      <c r="F123" t="str">
        <f ca="1">IFERROR(__xludf.DUMMYFUNCTION("""COMPUTED_VALUE"""),"")</f>
        <v/>
      </c>
      <c r="G123" t="str">
        <f ca="1">IFERROR(__xludf.DUMMYFUNCTION("""COMPUTED_VALUE"""),"---")</f>
        <v>---</v>
      </c>
      <c r="H123" t="str">
        <f ca="1">IFERROR(__xludf.DUMMYFUNCTION("""COMPUTED_VALUE"""),"")</f>
        <v/>
      </c>
      <c r="I123" t="str">
        <f ca="1">IFERROR(__xludf.DUMMYFUNCTION("""COMPUTED_VALUE"""),"---")</f>
        <v>---</v>
      </c>
      <c r="J123" t="str">
        <f ca="1">IFERROR(__xludf.DUMMYFUNCTION("""COMPUTED_VALUE"""),"")</f>
        <v/>
      </c>
      <c r="K123" t="str">
        <f ca="1">IFERROR(__xludf.DUMMYFUNCTION("""COMPUTED_VALUE"""),"")</f>
        <v/>
      </c>
      <c r="L123" t="str">
        <f ca="1">IFERROR(__xludf.DUMMYFUNCTION("""COMPUTED_VALUE"""),"")</f>
        <v/>
      </c>
      <c r="M123" t="str">
        <f ca="1">IFERROR(__xludf.DUMMYFUNCTION("""COMPUTED_VALUE"""),"")</f>
        <v/>
      </c>
      <c r="N123" t="str">
        <f ca="1">IFERROR(__xludf.DUMMYFUNCTION("""COMPUTED_VALUE"""),"")</f>
        <v/>
      </c>
      <c r="O123" t="str">
        <f ca="1">IFERROR(__xludf.DUMMYFUNCTION("""COMPUTED_VALUE"""),"")</f>
        <v/>
      </c>
      <c r="P123" t="str">
        <f ca="1">IFERROR(__xludf.DUMMYFUNCTION("""COMPUTED_VALUE"""),"")</f>
        <v/>
      </c>
      <c r="Q123" s="158">
        <f ca="1">IFERROR(__xludf.DUMMYFUNCTION("""COMPUTED_VALUE"""),0.520833333333333)</f>
        <v>0.52083333333333304</v>
      </c>
      <c r="R123" t="str">
        <f ca="1">IFERROR(__xludf.DUMMYFUNCTION("""COMPUTED_VALUE"""),"A")</f>
        <v>A</v>
      </c>
      <c r="S123" s="158">
        <f ca="1">IFERROR(__xludf.DUMMYFUNCTION("""COMPUTED_VALUE"""),0.559027777777777)</f>
        <v>0.55902777777777701</v>
      </c>
      <c r="T123" t="str">
        <f ca="1">IFERROR(__xludf.DUMMYFUNCTION("""COMPUTED_VALUE"""),"A")</f>
        <v>A</v>
      </c>
      <c r="U123" t="str">
        <f ca="1">IFERROR(__xludf.DUMMYFUNCTION("""COMPUTED_VALUE"""),"")</f>
        <v/>
      </c>
      <c r="V123" t="str">
        <f ca="1">IFERROR(__xludf.DUMMYFUNCTION("""COMPUTED_VALUE"""),"")</f>
        <v/>
      </c>
      <c r="W123" t="str">
        <f ca="1">IFERROR(__xludf.DUMMYFUNCTION("""COMPUTED_VALUE"""),"")</f>
        <v/>
      </c>
      <c r="X123" t="str">
        <f ca="1">IFERROR(__xludf.DUMMYFUNCTION("""COMPUTED_VALUE"""),"")</f>
        <v/>
      </c>
      <c r="Y123" t="str">
        <f ca="1">IFERROR(__xludf.DUMMYFUNCTION("""COMPUTED_VALUE"""),"ZŠ")</f>
        <v>ZŠ</v>
      </c>
      <c r="Z123" s="158" t="b">
        <f ca="1">IFERROR(__xludf.DUMMYFUNCTION("""COMPUTED_VALUE"""),FALSE)</f>
        <v>0</v>
      </c>
      <c r="AA123" t="b">
        <f ca="1">IFERROR(__xludf.DUMMYFUNCTION("""COMPUTED_VALUE"""),FALSE)</f>
        <v>0</v>
      </c>
      <c r="AB123" t="b">
        <f ca="1">IFERROR(__xludf.DUMMYFUNCTION("""COMPUTED_VALUE"""),FALSE)</f>
        <v>0</v>
      </c>
      <c r="AC123" t="b">
        <f ca="1">IFERROR(__xludf.DUMMYFUNCTION("""COMPUTED_VALUE"""),TRUE)</f>
        <v>1</v>
      </c>
      <c r="AD123" t="b">
        <f ca="1">IFERROR(__xludf.DUMMYFUNCTION("""COMPUTED_VALUE"""),FALSE)</f>
        <v>0</v>
      </c>
      <c r="AE123" t="b">
        <f ca="1">IFERROR(__xludf.DUMMYFUNCTION("""COMPUTED_VALUE"""),FALSE)</f>
        <v>0</v>
      </c>
      <c r="AF123" t="b">
        <f ca="1">IFERROR(__xludf.DUMMYFUNCTION("""COMPUTED_VALUE"""),FALSE)</f>
        <v>0</v>
      </c>
      <c r="AG123" t="str">
        <f ca="1">IFERROR(__xludf.DUMMYFUNCTION("""COMPUTED_VALUE"""),"Sprint - LEGO (drag race - Lego)")</f>
        <v>Sprint - LEGO (drag race - Lego)</v>
      </c>
    </row>
    <row r="124" spans="1:33" ht="13.2">
      <c r="A124">
        <f ca="1">IFERROR(__xludf.DUMMYFUNCTION("""COMPUTED_VALUE"""),127)</f>
        <v>127</v>
      </c>
      <c r="B124" t="str">
        <f ca="1">IFERROR(__xludf.DUMMYFUNCTION("""COMPUTED_VALUE"""),"Lanškroun")</f>
        <v>Lanškroun</v>
      </c>
      <c r="C124" t="str">
        <f ca="1">IFERROR(__xludf.DUMMYFUNCTION("""COMPUTED_VALUE"""),"Gymnázium Lanškroun")</f>
        <v>Gymnázium Lanškroun</v>
      </c>
      <c r="D124" t="str">
        <f ca="1">IFERROR(__xludf.DUMMYFUNCTION("""COMPUTED_VALUE"""),"DarkTeam")</f>
        <v>DarkTeam</v>
      </c>
      <c r="E124" t="str">
        <f ca="1">IFERROR(__xludf.DUMMYFUNCTION("""COMPUTED_VALUE"""),"---")</f>
        <v>---</v>
      </c>
      <c r="F124" t="str">
        <f ca="1">IFERROR(__xludf.DUMMYFUNCTION("""COMPUTED_VALUE"""),"")</f>
        <v/>
      </c>
      <c r="G124" t="str">
        <f ca="1">IFERROR(__xludf.DUMMYFUNCTION("""COMPUTED_VALUE"""),"---")</f>
        <v>---</v>
      </c>
      <c r="H124" t="str">
        <f ca="1">IFERROR(__xludf.DUMMYFUNCTION("""COMPUTED_VALUE"""),"")</f>
        <v/>
      </c>
      <c r="I124" t="str">
        <f ca="1">IFERROR(__xludf.DUMMYFUNCTION("""COMPUTED_VALUE"""),"---")</f>
        <v>---</v>
      </c>
      <c r="J124" t="str">
        <f ca="1">IFERROR(__xludf.DUMMYFUNCTION("""COMPUTED_VALUE"""),"")</f>
        <v/>
      </c>
      <c r="K124" t="str">
        <f ca="1">IFERROR(__xludf.DUMMYFUNCTION("""COMPUTED_VALUE"""),"")</f>
        <v/>
      </c>
      <c r="L124" t="str">
        <f ca="1">IFERROR(__xludf.DUMMYFUNCTION("""COMPUTED_VALUE"""),"")</f>
        <v/>
      </c>
      <c r="M124" t="str">
        <f ca="1">IFERROR(__xludf.DUMMYFUNCTION("""COMPUTED_VALUE"""),"")</f>
        <v/>
      </c>
      <c r="N124" t="str">
        <f ca="1">IFERROR(__xludf.DUMMYFUNCTION("""COMPUTED_VALUE"""),"")</f>
        <v/>
      </c>
      <c r="O124" t="str">
        <f ca="1">IFERROR(__xludf.DUMMYFUNCTION("""COMPUTED_VALUE"""),"")</f>
        <v/>
      </c>
      <c r="P124" t="str">
        <f ca="1">IFERROR(__xludf.DUMMYFUNCTION("""COMPUTED_VALUE"""),"")</f>
        <v/>
      </c>
      <c r="Q124" s="158">
        <f ca="1">IFERROR(__xludf.DUMMYFUNCTION("""COMPUTED_VALUE"""),0.520833333333333)</f>
        <v>0.52083333333333304</v>
      </c>
      <c r="R124" t="str">
        <f ca="1">IFERROR(__xludf.DUMMYFUNCTION("""COMPUTED_VALUE"""),"B")</f>
        <v>B</v>
      </c>
      <c r="S124" s="158">
        <f ca="1">IFERROR(__xludf.DUMMYFUNCTION("""COMPUTED_VALUE"""),0.559027777777777)</f>
        <v>0.55902777777777701</v>
      </c>
      <c r="T124" t="str">
        <f ca="1">IFERROR(__xludf.DUMMYFUNCTION("""COMPUTED_VALUE"""),"B")</f>
        <v>B</v>
      </c>
      <c r="U124" t="str">
        <f ca="1">IFERROR(__xludf.DUMMYFUNCTION("""COMPUTED_VALUE"""),"")</f>
        <v/>
      </c>
      <c r="V124" t="str">
        <f ca="1">IFERROR(__xludf.DUMMYFUNCTION("""COMPUTED_VALUE"""),"")</f>
        <v/>
      </c>
      <c r="W124" t="str">
        <f ca="1">IFERROR(__xludf.DUMMYFUNCTION("""COMPUTED_VALUE"""),"")</f>
        <v/>
      </c>
      <c r="X124" t="str">
        <f ca="1">IFERROR(__xludf.DUMMYFUNCTION("""COMPUTED_VALUE"""),"")</f>
        <v/>
      </c>
      <c r="Y124" t="str">
        <f ca="1">IFERROR(__xludf.DUMMYFUNCTION("""COMPUTED_VALUE"""),"ZŠ")</f>
        <v>ZŠ</v>
      </c>
      <c r="Z124" s="158" t="b">
        <f ca="1">IFERROR(__xludf.DUMMYFUNCTION("""COMPUTED_VALUE"""),FALSE)</f>
        <v>0</v>
      </c>
      <c r="AA124" t="b">
        <f ca="1">IFERROR(__xludf.DUMMYFUNCTION("""COMPUTED_VALUE"""),FALSE)</f>
        <v>0</v>
      </c>
      <c r="AB124" t="b">
        <f ca="1">IFERROR(__xludf.DUMMYFUNCTION("""COMPUTED_VALUE"""),FALSE)</f>
        <v>0</v>
      </c>
      <c r="AC124" t="b">
        <f ca="1">IFERROR(__xludf.DUMMYFUNCTION("""COMPUTED_VALUE"""),TRUE)</f>
        <v>1</v>
      </c>
      <c r="AD124" t="b">
        <f ca="1">IFERROR(__xludf.DUMMYFUNCTION("""COMPUTED_VALUE"""),FALSE)</f>
        <v>0</v>
      </c>
      <c r="AE124" t="b">
        <f ca="1">IFERROR(__xludf.DUMMYFUNCTION("""COMPUTED_VALUE"""),FALSE)</f>
        <v>0</v>
      </c>
      <c r="AF124" t="b">
        <f ca="1">IFERROR(__xludf.DUMMYFUNCTION("""COMPUTED_VALUE"""),FALSE)</f>
        <v>0</v>
      </c>
      <c r="AG124" t="str">
        <f ca="1">IFERROR(__xludf.DUMMYFUNCTION("""COMPUTED_VALUE"""),"Sprint - LEGO (drag race - Lego)")</f>
        <v>Sprint - LEGO (drag race - Lego)</v>
      </c>
    </row>
    <row r="125" spans="1:33" ht="13.2">
      <c r="A125">
        <f ca="1">IFERROR(__xludf.DUMMYFUNCTION("""COMPUTED_VALUE"""),128)</f>
        <v>128</v>
      </c>
      <c r="B125" t="str">
        <f ca="1">IFERROR(__xludf.DUMMYFUNCTION("""COMPUTED_VALUE"""),"Praha")</f>
        <v>Praha</v>
      </c>
      <c r="C125" t="str">
        <f ca="1">IFERROR(__xludf.DUMMYFUNCTION("""COMPUTED_VALUE"""),"Gymnázium Praha, Botičská")</f>
        <v>Gymnázium Praha, Botičská</v>
      </c>
      <c r="D125" t="str">
        <f ca="1">IFERROR(__xludf.DUMMYFUNCTION("""COMPUTED_VALUE"""),"R.U.R. Gybot")</f>
        <v>R.U.R. Gybot</v>
      </c>
      <c r="E125" s="158">
        <f ca="1">IFERROR(__xludf.DUMMYFUNCTION("""COMPUTED_VALUE"""),0.439583333333333)</f>
        <v>0.43958333333333299</v>
      </c>
      <c r="F125" t="str">
        <f ca="1">IFERROR(__xludf.DUMMYFUNCTION("""COMPUTED_VALUE"""),"B")</f>
        <v>B</v>
      </c>
      <c r="G125" s="158">
        <f ca="1">IFERROR(__xludf.DUMMYFUNCTION("""COMPUTED_VALUE"""),0.509722222222222)</f>
        <v>0.50972222222222197</v>
      </c>
      <c r="H125" t="str">
        <f ca="1">IFERROR(__xludf.DUMMYFUNCTION("""COMPUTED_VALUE"""),"B")</f>
        <v>B</v>
      </c>
      <c r="I125" s="158">
        <f ca="1">IFERROR(__xludf.DUMMYFUNCTION("""COMPUTED_VALUE"""),0.584722222222222)</f>
        <v>0.58472222222222203</v>
      </c>
      <c r="J125" t="str">
        <f ca="1">IFERROR(__xludf.DUMMYFUNCTION("""COMPUTED_VALUE"""),"B")</f>
        <v>B</v>
      </c>
      <c r="K125" t="str">
        <f ca="1">IFERROR(__xludf.DUMMYFUNCTION("""COMPUTED_VALUE"""),"")</f>
        <v/>
      </c>
      <c r="L125" t="str">
        <f ca="1">IFERROR(__xludf.DUMMYFUNCTION("""COMPUTED_VALUE"""),"")</f>
        <v/>
      </c>
      <c r="M125" t="str">
        <f ca="1">IFERROR(__xludf.DUMMYFUNCTION("""COMPUTED_VALUE"""),"")</f>
        <v/>
      </c>
      <c r="N125" t="str">
        <f ca="1">IFERROR(__xludf.DUMMYFUNCTION("""COMPUTED_VALUE"""),"")</f>
        <v/>
      </c>
      <c r="O125" t="str">
        <f ca="1">IFERROR(__xludf.DUMMYFUNCTION("""COMPUTED_VALUE"""),"")</f>
        <v/>
      </c>
      <c r="P125" t="str">
        <f ca="1">IFERROR(__xludf.DUMMYFUNCTION("""COMPUTED_VALUE"""),"")</f>
        <v/>
      </c>
      <c r="Q125" s="158">
        <f ca="1">IFERROR(__xludf.DUMMYFUNCTION("""COMPUTED_VALUE"""),0.521527777777777)</f>
        <v>0.52152777777777704</v>
      </c>
      <c r="R125" t="str">
        <f ca="1">IFERROR(__xludf.DUMMYFUNCTION("""COMPUTED_VALUE"""),"A")</f>
        <v>A</v>
      </c>
      <c r="S125" s="158">
        <f ca="1">IFERROR(__xludf.DUMMYFUNCTION("""COMPUTED_VALUE"""),0.559722222222222)</f>
        <v>0.55972222222222201</v>
      </c>
      <c r="T125" t="str">
        <f ca="1">IFERROR(__xludf.DUMMYFUNCTION("""COMPUTED_VALUE"""),"A")</f>
        <v>A</v>
      </c>
      <c r="U125" t="str">
        <f ca="1">IFERROR(__xludf.DUMMYFUNCTION("""COMPUTED_VALUE"""),"")</f>
        <v/>
      </c>
      <c r="V125" t="str">
        <f ca="1">IFERROR(__xludf.DUMMYFUNCTION("""COMPUTED_VALUE"""),"")</f>
        <v/>
      </c>
      <c r="W125" t="str">
        <f ca="1">IFERROR(__xludf.DUMMYFUNCTION("""COMPUTED_VALUE"""),"")</f>
        <v/>
      </c>
      <c r="X125" t="str">
        <f ca="1">IFERROR(__xludf.DUMMYFUNCTION("""COMPUTED_VALUE"""),"")</f>
        <v/>
      </c>
      <c r="Y125" t="str">
        <f ca="1">IFERROR(__xludf.DUMMYFUNCTION("""COMPUTED_VALUE"""),"SŠ")</f>
        <v>SŠ</v>
      </c>
      <c r="Z125" t="b">
        <f ca="1">IFERROR(__xludf.DUMMYFUNCTION("""COMPUTED_VALUE"""),TRUE)</f>
        <v>1</v>
      </c>
      <c r="AA125" t="b">
        <f ca="1">IFERROR(__xludf.DUMMYFUNCTION("""COMPUTED_VALUE"""),FALSE)</f>
        <v>0</v>
      </c>
      <c r="AB125" t="b">
        <f ca="1">IFERROR(__xludf.DUMMYFUNCTION("""COMPUTED_VALUE"""),FALSE)</f>
        <v>0</v>
      </c>
      <c r="AC125" t="b">
        <f ca="1">IFERROR(__xludf.DUMMYFUNCTION("""COMPUTED_VALUE"""),TRUE)</f>
        <v>1</v>
      </c>
      <c r="AD125" t="b">
        <f ca="1">IFERROR(__xludf.DUMMYFUNCTION("""COMPUTED_VALUE"""),FALSE)</f>
        <v>0</v>
      </c>
      <c r="AE125" t="b">
        <f ca="1">IFERROR(__xludf.DUMMYFUNCTION("""COMPUTED_VALUE"""),FALSE)</f>
        <v>0</v>
      </c>
      <c r="AF125" t="b">
        <f ca="1">IFERROR(__xludf.DUMMYFUNCTION("""COMPUTED_VALUE"""),FALSE)</f>
        <v>0</v>
      </c>
      <c r="AG125" t="str">
        <f ca="1">IFERROR(__xludf.DUMMYFUNCTION("""COMPUTED_VALUE"""),"Čára (line follower), Sprint - LEGO (drag race - Lego)")</f>
        <v>Čára (line follower), Sprint - LEGO (drag race - Lego)</v>
      </c>
    </row>
    <row r="126" spans="1:33" ht="13.2">
      <c r="A126">
        <f ca="1">IFERROR(__xludf.DUMMYFUNCTION("""COMPUTED_VALUE"""),132)</f>
        <v>132</v>
      </c>
      <c r="B126" t="str">
        <f ca="1">IFERROR(__xludf.DUMMYFUNCTION("""COMPUTED_VALUE"""),"Praha 6")</f>
        <v>Praha 6</v>
      </c>
      <c r="C126" t="str">
        <f ca="1">IFERROR(__xludf.DUMMYFUNCTION("""COMPUTED_VALUE"""),"Gymnázuim Jana Keplera Praha")</f>
        <v>Gymnázuim Jana Keplera Praha</v>
      </c>
      <c r="D126" t="str">
        <f ca="1">IFERROR(__xludf.DUMMYFUNCTION("""COMPUTED_VALUE"""),"Vypečené duo")</f>
        <v>Vypečené duo</v>
      </c>
      <c r="E126" s="158">
        <f ca="1">IFERROR(__xludf.DUMMYFUNCTION("""COMPUTED_VALUE"""),0.440972222222222)</f>
        <v>0.44097222222222199</v>
      </c>
      <c r="F126" t="str">
        <f ca="1">IFERROR(__xludf.DUMMYFUNCTION("""COMPUTED_VALUE"""),"B")</f>
        <v>B</v>
      </c>
      <c r="G126" s="158">
        <f ca="1">IFERROR(__xludf.DUMMYFUNCTION("""COMPUTED_VALUE"""),0.511111111111111)</f>
        <v>0.51111111111111096</v>
      </c>
      <c r="H126" t="str">
        <f ca="1">IFERROR(__xludf.DUMMYFUNCTION("""COMPUTED_VALUE"""),"B")</f>
        <v>B</v>
      </c>
      <c r="I126" s="158">
        <f ca="1">IFERROR(__xludf.DUMMYFUNCTION("""COMPUTED_VALUE"""),0.586111111111111)</f>
        <v>0.58611111111111103</v>
      </c>
      <c r="J126" t="str">
        <f ca="1">IFERROR(__xludf.DUMMYFUNCTION("""COMPUTED_VALUE"""),"B")</f>
        <v>B</v>
      </c>
      <c r="K126" t="str">
        <f ca="1">IFERROR(__xludf.DUMMYFUNCTION("""COMPUTED_VALUE"""),"")</f>
        <v/>
      </c>
      <c r="L126" t="str">
        <f ca="1">IFERROR(__xludf.DUMMYFUNCTION("""COMPUTED_VALUE"""),"")</f>
        <v/>
      </c>
      <c r="M126" t="str">
        <f ca="1">IFERROR(__xludf.DUMMYFUNCTION("""COMPUTED_VALUE"""),"")</f>
        <v/>
      </c>
      <c r="N126" t="str">
        <f ca="1">IFERROR(__xludf.DUMMYFUNCTION("""COMPUTED_VALUE"""),"")</f>
        <v/>
      </c>
      <c r="O126" t="str">
        <f ca="1">IFERROR(__xludf.DUMMYFUNCTION("""COMPUTED_VALUE"""),"")</f>
        <v/>
      </c>
      <c r="P126" t="str">
        <f ca="1">IFERROR(__xludf.DUMMYFUNCTION("""COMPUTED_VALUE"""),"")</f>
        <v/>
      </c>
      <c r="Q126" t="str">
        <f ca="1">IFERROR(__xludf.DUMMYFUNCTION("""COMPUTED_VALUE"""),"")</f>
        <v/>
      </c>
      <c r="R126" t="str">
        <f ca="1">IFERROR(__xludf.DUMMYFUNCTION("""COMPUTED_VALUE"""),"")</f>
        <v/>
      </c>
      <c r="S126" t="str">
        <f ca="1">IFERROR(__xludf.DUMMYFUNCTION("""COMPUTED_VALUE"""),"")</f>
        <v/>
      </c>
      <c r="T126" t="str">
        <f ca="1">IFERROR(__xludf.DUMMYFUNCTION("""COMPUTED_VALUE"""),"")</f>
        <v/>
      </c>
      <c r="U126" t="str">
        <f ca="1">IFERROR(__xludf.DUMMYFUNCTION("""COMPUTED_VALUE"""),"")</f>
        <v/>
      </c>
      <c r="V126" t="str">
        <f ca="1">IFERROR(__xludf.DUMMYFUNCTION("""COMPUTED_VALUE"""),"")</f>
        <v/>
      </c>
      <c r="W126" t="str">
        <f ca="1">IFERROR(__xludf.DUMMYFUNCTION("""COMPUTED_VALUE"""),"")</f>
        <v/>
      </c>
      <c r="X126" t="str">
        <f ca="1">IFERROR(__xludf.DUMMYFUNCTION("""COMPUTED_VALUE"""),"")</f>
        <v/>
      </c>
      <c r="Y126" t="str">
        <f ca="1">IFERROR(__xludf.DUMMYFUNCTION("""COMPUTED_VALUE"""),"SŠ")</f>
        <v>SŠ</v>
      </c>
      <c r="Z126" t="b">
        <f ca="1">IFERROR(__xludf.DUMMYFUNCTION("""COMPUTED_VALUE"""),TRUE)</f>
        <v>1</v>
      </c>
      <c r="AA126" t="b">
        <f ca="1">IFERROR(__xludf.DUMMYFUNCTION("""COMPUTED_VALUE"""),FALSE)</f>
        <v>0</v>
      </c>
      <c r="AB126" t="b">
        <f ca="1">IFERROR(__xludf.DUMMYFUNCTION("""COMPUTED_VALUE"""),FALSE)</f>
        <v>0</v>
      </c>
      <c r="AC126" t="b">
        <f ca="1">IFERROR(__xludf.DUMMYFUNCTION("""COMPUTED_VALUE"""),FALSE)</f>
        <v>0</v>
      </c>
      <c r="AD126" t="b">
        <f ca="1">IFERROR(__xludf.DUMMYFUNCTION("""COMPUTED_VALUE"""),FALSE)</f>
        <v>0</v>
      </c>
      <c r="AE126" t="b">
        <f ca="1">IFERROR(__xludf.DUMMYFUNCTION("""COMPUTED_VALUE"""),FALSE)</f>
        <v>0</v>
      </c>
      <c r="AF126" t="b">
        <f ca="1">IFERROR(__xludf.DUMMYFUNCTION("""COMPUTED_VALUE"""),FALSE)</f>
        <v>0</v>
      </c>
      <c r="AG126" t="str">
        <f ca="1">IFERROR(__xludf.DUMMYFUNCTION("""COMPUTED_VALUE"""),"Čára (line follower)")</f>
        <v>Čára (line follower)</v>
      </c>
    </row>
    <row r="127" spans="1:33" ht="13.2">
      <c r="A127">
        <f ca="1">IFERROR(__xludf.DUMMYFUNCTION("""COMPUTED_VALUE"""),133)</f>
        <v>133</v>
      </c>
      <c r="B127" t="str">
        <f ca="1">IFERROR(__xludf.DUMMYFUNCTION("""COMPUTED_VALUE"""),"Černilov")</f>
        <v>Černilov</v>
      </c>
      <c r="C127" t="str">
        <f ca="1">IFERROR(__xludf.DUMMYFUNCTION("""COMPUTED_VALUE"""),"Masarykova jubilejní ZŠ a MŠ Černilov")</f>
        <v>Masarykova jubilejní ZŠ a MŠ Černilov</v>
      </c>
      <c r="D127" t="str">
        <f ca="1">IFERROR(__xludf.DUMMYFUNCTION("""COMPUTED_VALUE"""),"Černilováci")</f>
        <v>Černilováci</v>
      </c>
      <c r="E127" s="158">
        <f ca="1">IFERROR(__xludf.DUMMYFUNCTION("""COMPUTED_VALUE"""),0.439583333333333)</f>
        <v>0.43958333333333299</v>
      </c>
      <c r="F127" t="str">
        <f ca="1">IFERROR(__xludf.DUMMYFUNCTION("""COMPUTED_VALUE"""),"A")</f>
        <v>A</v>
      </c>
      <c r="G127" s="158">
        <f ca="1">IFERROR(__xludf.DUMMYFUNCTION("""COMPUTED_VALUE"""),0.509722222222222)</f>
        <v>0.50972222222222197</v>
      </c>
      <c r="H127" t="str">
        <f ca="1">IFERROR(__xludf.DUMMYFUNCTION("""COMPUTED_VALUE"""),"A")</f>
        <v>A</v>
      </c>
      <c r="I127" s="158">
        <f ca="1">IFERROR(__xludf.DUMMYFUNCTION("""COMPUTED_VALUE"""),0.584722222222222)</f>
        <v>0.58472222222222203</v>
      </c>
      <c r="J127" t="str">
        <f ca="1">IFERROR(__xludf.DUMMYFUNCTION("""COMPUTED_VALUE"""),"A")</f>
        <v>A</v>
      </c>
      <c r="K127" s="158">
        <f ca="1">IFERROR(__xludf.DUMMYFUNCTION("""COMPUTED_VALUE"""),0.465972222222222)</f>
        <v>0.46597222222222201</v>
      </c>
      <c r="L127" t="str">
        <f ca="1">IFERROR(__xludf.DUMMYFUNCTION("""COMPUTED_VALUE"""),"B")</f>
        <v>B</v>
      </c>
      <c r="M127" s="158">
        <f ca="1">IFERROR(__xludf.DUMMYFUNCTION("""COMPUTED_VALUE"""),0.55625)</f>
        <v>0.55625000000000002</v>
      </c>
      <c r="N127" t="str">
        <f ca="1">IFERROR(__xludf.DUMMYFUNCTION("""COMPUTED_VALUE"""),"B")</f>
        <v>B</v>
      </c>
      <c r="O127" s="158">
        <f ca="1">IFERROR(__xludf.DUMMYFUNCTION("""COMPUTED_VALUE"""),0.497222222222222)</f>
        <v>0.49722222222222201</v>
      </c>
      <c r="P127" t="str">
        <f ca="1">IFERROR(__xludf.DUMMYFUNCTION("""COMPUTED_VALUE"""),"B")</f>
        <v>B</v>
      </c>
      <c r="Q127" s="158">
        <f ca="1">IFERROR(__xludf.DUMMYFUNCTION("""COMPUTED_VALUE"""),0.521527777777777)</f>
        <v>0.52152777777777704</v>
      </c>
      <c r="R127" t="str">
        <f ca="1">IFERROR(__xludf.DUMMYFUNCTION("""COMPUTED_VALUE"""),"B")</f>
        <v>B</v>
      </c>
      <c r="S127" s="158">
        <f ca="1">IFERROR(__xludf.DUMMYFUNCTION("""COMPUTED_VALUE"""),0.559722222222222)</f>
        <v>0.55972222222222201</v>
      </c>
      <c r="T127" t="str">
        <f ca="1">IFERROR(__xludf.DUMMYFUNCTION("""COMPUTED_VALUE"""),"B")</f>
        <v>B</v>
      </c>
      <c r="U127" t="str">
        <f ca="1">IFERROR(__xludf.DUMMYFUNCTION("""COMPUTED_VALUE"""),"")</f>
        <v/>
      </c>
      <c r="V127" t="str">
        <f ca="1">IFERROR(__xludf.DUMMYFUNCTION("""COMPUTED_VALUE"""),"")</f>
        <v/>
      </c>
      <c r="W127" t="str">
        <f ca="1">IFERROR(__xludf.DUMMYFUNCTION("""COMPUTED_VALUE"""),"")</f>
        <v/>
      </c>
      <c r="X127" t="str">
        <f ca="1">IFERROR(__xludf.DUMMYFUNCTION("""COMPUTED_VALUE"""),"")</f>
        <v/>
      </c>
      <c r="Y127" t="str">
        <f ca="1">IFERROR(__xludf.DUMMYFUNCTION("""COMPUTED_VALUE"""),"ZŠ")</f>
        <v>ZŠ</v>
      </c>
      <c r="Z127" t="b">
        <f ca="1">IFERROR(__xludf.DUMMYFUNCTION("""COMPUTED_VALUE"""),TRUE)</f>
        <v>1</v>
      </c>
      <c r="AA127" t="b">
        <f ca="1">IFERROR(__xludf.DUMMYFUNCTION("""COMPUTED_VALUE"""),TRUE)</f>
        <v>1</v>
      </c>
      <c r="AB127" t="b">
        <f ca="1">IFERROR(__xludf.DUMMYFUNCTION("""COMPUTED_VALUE"""),TRUE)</f>
        <v>1</v>
      </c>
      <c r="AC127" t="b">
        <f ca="1">IFERROR(__xludf.DUMMYFUNCTION("""COMPUTED_VALUE"""),TRUE)</f>
        <v>1</v>
      </c>
      <c r="AD127" t="b">
        <f ca="1">IFERROR(__xludf.DUMMYFUNCTION("""COMPUTED_VALUE"""),FALSE)</f>
        <v>0</v>
      </c>
      <c r="AE127" t="b">
        <f ca="1">IFERROR(__xludf.DUMMYFUNCTION("""COMPUTED_VALUE"""),TRUE)</f>
        <v>1</v>
      </c>
      <c r="AF127" t="b">
        <f ca="1">IFERROR(__xludf.DUMMYFUNCTION("""COMPUTED_VALUE"""),FALSE)</f>
        <v>0</v>
      </c>
      <c r="AG127" t="str">
        <f ca="1">IFERROR(__xludf.DUMMYFUNCTION("""COMPUTED_VALUE"""),"Čára (line follower), Dálkový medvěd (bear rescue), Autonomní medvěd (bear rescue advance), Sprint - LEGO (drag race - Lego), Freestyle")</f>
        <v>Čára (line follower), Dálkový medvěd (bear rescue), Autonomní medvěd (bear rescue advance), Sprint - LEGO (drag race - Lego), Freestyle</v>
      </c>
    </row>
    <row r="128" spans="1:33" ht="13.2">
      <c r="A128">
        <f ca="1">IFERROR(__xludf.DUMMYFUNCTION("""COMPUTED_VALUE"""),134)</f>
        <v>134</v>
      </c>
      <c r="B128" t="str">
        <f ca="1">IFERROR(__xludf.DUMMYFUNCTION("""COMPUTED_VALUE"""),"Říčany")</f>
        <v>Říčany</v>
      </c>
      <c r="C128" t="str">
        <f ca="1">IFERROR(__xludf.DUMMYFUNCTION("""COMPUTED_VALUE"""),"Masarykovo klasické gymnázium Říčany")</f>
        <v>Masarykovo klasické gymnázium Říčany</v>
      </c>
      <c r="D128" t="str">
        <f ca="1">IFERROR(__xludf.DUMMYFUNCTION("""COMPUTED_VALUE"""),"Vrakoslav")</f>
        <v>Vrakoslav</v>
      </c>
      <c r="E128" t="str">
        <f ca="1">IFERROR(__xludf.DUMMYFUNCTION("""COMPUTED_VALUE"""),"---")</f>
        <v>---</v>
      </c>
      <c r="F128" t="str">
        <f ca="1">IFERROR(__xludf.DUMMYFUNCTION("""COMPUTED_VALUE"""),"")</f>
        <v/>
      </c>
      <c r="G128" t="str">
        <f ca="1">IFERROR(__xludf.DUMMYFUNCTION("""COMPUTED_VALUE"""),"---")</f>
        <v>---</v>
      </c>
      <c r="H128" t="str">
        <f ca="1">IFERROR(__xludf.DUMMYFUNCTION("""COMPUTED_VALUE"""),"")</f>
        <v/>
      </c>
      <c r="I128" t="str">
        <f ca="1">IFERROR(__xludf.DUMMYFUNCTION("""COMPUTED_VALUE"""),"---")</f>
        <v>---</v>
      </c>
      <c r="J128" t="str">
        <f ca="1">IFERROR(__xludf.DUMMYFUNCTION("""COMPUTED_VALUE"""),"")</f>
        <v/>
      </c>
      <c r="K128" t="str">
        <f ca="1">IFERROR(__xludf.DUMMYFUNCTION("""COMPUTED_VALUE"""),"")</f>
        <v/>
      </c>
      <c r="L128" t="str">
        <f ca="1">IFERROR(__xludf.DUMMYFUNCTION("""COMPUTED_VALUE"""),"")</f>
        <v/>
      </c>
      <c r="M128" t="str">
        <f ca="1">IFERROR(__xludf.DUMMYFUNCTION("""COMPUTED_VALUE"""),"")</f>
        <v/>
      </c>
      <c r="N128" t="str">
        <f ca="1">IFERROR(__xludf.DUMMYFUNCTION("""COMPUTED_VALUE"""),"")</f>
        <v/>
      </c>
      <c r="O128" t="str">
        <f ca="1">IFERROR(__xludf.DUMMYFUNCTION("""COMPUTED_VALUE"""),"")</f>
        <v/>
      </c>
      <c r="P128" t="str">
        <f ca="1">IFERROR(__xludf.DUMMYFUNCTION("""COMPUTED_VALUE"""),"")</f>
        <v/>
      </c>
      <c r="Q128" t="str">
        <f ca="1">IFERROR(__xludf.DUMMYFUNCTION("""COMPUTED_VALUE"""),"")</f>
        <v/>
      </c>
      <c r="R128" t="str">
        <f ca="1">IFERROR(__xludf.DUMMYFUNCTION("""COMPUTED_VALUE"""),"")</f>
        <v/>
      </c>
      <c r="S128" t="str">
        <f ca="1">IFERROR(__xludf.DUMMYFUNCTION("""COMPUTED_VALUE"""),"")</f>
        <v/>
      </c>
      <c r="T128" t="str">
        <f ca="1">IFERROR(__xludf.DUMMYFUNCTION("""COMPUTED_VALUE"""),"")</f>
        <v/>
      </c>
      <c r="U128" s="158">
        <f ca="1">IFERROR(__xludf.DUMMYFUNCTION("""COMPUTED_VALUE"""),0.534722222222222)</f>
        <v>0.53472222222222199</v>
      </c>
      <c r="V128" t="str">
        <f ca="1">IFERROR(__xludf.DUMMYFUNCTION("""COMPUTED_VALUE"""),"B")</f>
        <v>B</v>
      </c>
      <c r="W128" s="158">
        <f ca="1">IFERROR(__xludf.DUMMYFUNCTION("""COMPUTED_VALUE"""),0.572916666666666)</f>
        <v>0.57291666666666596</v>
      </c>
      <c r="X128" t="str">
        <f ca="1">IFERROR(__xludf.DUMMYFUNCTION("""COMPUTED_VALUE"""),"B")</f>
        <v>B</v>
      </c>
      <c r="Y128" t="str">
        <f ca="1">IFERROR(__xludf.DUMMYFUNCTION("""COMPUTED_VALUE"""),"SŠ")</f>
        <v>SŠ</v>
      </c>
      <c r="Z128" s="158" t="b">
        <f ca="1">IFERROR(__xludf.DUMMYFUNCTION("""COMPUTED_VALUE"""),FALSE)</f>
        <v>0</v>
      </c>
      <c r="AA128" t="b">
        <f ca="1">IFERROR(__xludf.DUMMYFUNCTION("""COMPUTED_VALUE"""),FALSE)</f>
        <v>0</v>
      </c>
      <c r="AB128" t="b">
        <f ca="1">IFERROR(__xludf.DUMMYFUNCTION("""COMPUTED_VALUE"""),FALSE)</f>
        <v>0</v>
      </c>
      <c r="AC128" t="b">
        <f ca="1">IFERROR(__xludf.DUMMYFUNCTION("""COMPUTED_VALUE"""),FALSE)</f>
        <v>0</v>
      </c>
      <c r="AD128" t="b">
        <f ca="1">IFERROR(__xludf.DUMMYFUNCTION("""COMPUTED_VALUE"""),TRUE)</f>
        <v>1</v>
      </c>
      <c r="AE128" t="b">
        <f ca="1">IFERROR(__xludf.DUMMYFUNCTION("""COMPUTED_VALUE"""),FALSE)</f>
        <v>0</v>
      </c>
      <c r="AF128" t="b">
        <f ca="1">IFERROR(__xludf.DUMMYFUNCTION("""COMPUTED_VALUE"""),FALSE)</f>
        <v>0</v>
      </c>
      <c r="AG128" t="str">
        <f ca="1">IFERROR(__xludf.DUMMYFUNCTION("""COMPUTED_VALUE"""),"Sprint - NeLEGOvý (drag race - Non Lego)")</f>
        <v>Sprint - NeLEGOvý (drag race - Non Lego)</v>
      </c>
    </row>
    <row r="129" spans="1:33" ht="13.2">
      <c r="A129">
        <f ca="1">IFERROR(__xludf.DUMMYFUNCTION("""COMPUTED_VALUE"""),135)</f>
        <v>135</v>
      </c>
      <c r="B129" t="str">
        <f ca="1">IFERROR(__xludf.DUMMYFUNCTION("""COMPUTED_VALUE"""),"Ostrava")</f>
        <v>Ostrava</v>
      </c>
      <c r="C129" t="str">
        <f ca="1">IFERROR(__xludf.DUMMYFUNCTION("""COMPUTED_VALUE"""),"Matiční gymnázium, Ostrava")</f>
        <v>Matiční gymnázium, Ostrava</v>
      </c>
      <c r="D129" t="str">
        <f ca="1">IFERROR(__xludf.DUMMYFUNCTION("""COMPUTED_VALUE"""),"Kaštani")</f>
        <v>Kaštani</v>
      </c>
      <c r="E129" s="158">
        <f ca="1">IFERROR(__xludf.DUMMYFUNCTION("""COMPUTED_VALUE"""),0.442361111111111)</f>
        <v>0.44236111111111098</v>
      </c>
      <c r="F129" t="str">
        <f ca="1">IFERROR(__xludf.DUMMYFUNCTION("""COMPUTED_VALUE"""),"B")</f>
        <v>B</v>
      </c>
      <c r="G129" s="158">
        <f ca="1">IFERROR(__xludf.DUMMYFUNCTION("""COMPUTED_VALUE"""),0.5125)</f>
        <v>0.51249999999999996</v>
      </c>
      <c r="H129" t="str">
        <f ca="1">IFERROR(__xludf.DUMMYFUNCTION("""COMPUTED_VALUE"""),"B")</f>
        <v>B</v>
      </c>
      <c r="I129" s="158">
        <f ca="1">IFERROR(__xludf.DUMMYFUNCTION("""COMPUTED_VALUE"""),0.5875)</f>
        <v>0.58750000000000002</v>
      </c>
      <c r="J129" t="str">
        <f ca="1">IFERROR(__xludf.DUMMYFUNCTION("""COMPUTED_VALUE"""),"B")</f>
        <v>B</v>
      </c>
      <c r="K129" t="str">
        <f ca="1">IFERROR(__xludf.DUMMYFUNCTION("""COMPUTED_VALUE"""),"")</f>
        <v/>
      </c>
      <c r="L129" t="str">
        <f ca="1">IFERROR(__xludf.DUMMYFUNCTION("""COMPUTED_VALUE"""),"")</f>
        <v/>
      </c>
      <c r="M129" t="str">
        <f ca="1">IFERROR(__xludf.DUMMYFUNCTION("""COMPUTED_VALUE"""),"")</f>
        <v/>
      </c>
      <c r="N129" t="str">
        <f ca="1">IFERROR(__xludf.DUMMYFUNCTION("""COMPUTED_VALUE"""),"")</f>
        <v/>
      </c>
      <c r="O129" s="158">
        <f ca="1">IFERROR(__xludf.DUMMYFUNCTION("""COMPUTED_VALUE"""),0.498611111111111)</f>
        <v>0.49861111111111101</v>
      </c>
      <c r="P129" t="str">
        <f ca="1">IFERROR(__xludf.DUMMYFUNCTION("""COMPUTED_VALUE"""),"A")</f>
        <v>A</v>
      </c>
      <c r="Q129" s="158">
        <f ca="1">IFERROR(__xludf.DUMMYFUNCTION("""COMPUTED_VALUE"""),0.522222222222222)</f>
        <v>0.52222222222222203</v>
      </c>
      <c r="R129" t="str">
        <f ca="1">IFERROR(__xludf.DUMMYFUNCTION("""COMPUTED_VALUE"""),"A")</f>
        <v>A</v>
      </c>
      <c r="S129" s="158">
        <f ca="1">IFERROR(__xludf.DUMMYFUNCTION("""COMPUTED_VALUE"""),0.560416666666666)</f>
        <v>0.56041666666666601</v>
      </c>
      <c r="T129" t="str">
        <f ca="1">IFERROR(__xludf.DUMMYFUNCTION("""COMPUTED_VALUE"""),"A")</f>
        <v>A</v>
      </c>
      <c r="U129" t="str">
        <f ca="1">IFERROR(__xludf.DUMMYFUNCTION("""COMPUTED_VALUE"""),"")</f>
        <v/>
      </c>
      <c r="V129" t="str">
        <f ca="1">IFERROR(__xludf.DUMMYFUNCTION("""COMPUTED_VALUE"""),"")</f>
        <v/>
      </c>
      <c r="W129" t="str">
        <f ca="1">IFERROR(__xludf.DUMMYFUNCTION("""COMPUTED_VALUE"""),"")</f>
        <v/>
      </c>
      <c r="X129" t="str">
        <f ca="1">IFERROR(__xludf.DUMMYFUNCTION("""COMPUTED_VALUE"""),"")</f>
        <v/>
      </c>
      <c r="Y129" t="str">
        <f ca="1">IFERROR(__xludf.DUMMYFUNCTION("""COMPUTED_VALUE"""),"ZŠ")</f>
        <v>ZŠ</v>
      </c>
      <c r="Z129" t="b">
        <f ca="1">IFERROR(__xludf.DUMMYFUNCTION("""COMPUTED_VALUE"""),TRUE)</f>
        <v>1</v>
      </c>
      <c r="AA129" t="b">
        <f ca="1">IFERROR(__xludf.DUMMYFUNCTION("""COMPUTED_VALUE"""),FALSE)</f>
        <v>0</v>
      </c>
      <c r="AB129" t="b">
        <f ca="1">IFERROR(__xludf.DUMMYFUNCTION("""COMPUTED_VALUE"""),TRUE)</f>
        <v>1</v>
      </c>
      <c r="AC129" t="b">
        <f ca="1">IFERROR(__xludf.DUMMYFUNCTION("""COMPUTED_VALUE"""),TRUE)</f>
        <v>1</v>
      </c>
      <c r="AD129" t="b">
        <f ca="1">IFERROR(__xludf.DUMMYFUNCTION("""COMPUTED_VALUE"""),FALSE)</f>
        <v>0</v>
      </c>
      <c r="AE129" t="b">
        <f ca="1">IFERROR(__xludf.DUMMYFUNCTION("""COMPUTED_VALUE"""),FALSE)</f>
        <v>0</v>
      </c>
      <c r="AF129" t="b">
        <f ca="1">IFERROR(__xludf.DUMMYFUNCTION("""COMPUTED_VALUE"""),FALSE)</f>
        <v>0</v>
      </c>
      <c r="AG129" t="str">
        <f ca="1">IFERROR(__xludf.DUMMYFUNCTION("""COMPUTED_VALUE"""),"Čára (line follower), Dálkový medvěd (bear rescue), Sprint - LEGO (drag race - Lego)")</f>
        <v>Čára (line follower), Dálkový medvěd (bear rescue), Sprint - LEGO (drag race - Lego)</v>
      </c>
    </row>
    <row r="130" spans="1:33" ht="13.2">
      <c r="A130">
        <f ca="1">IFERROR(__xludf.DUMMYFUNCTION("""COMPUTED_VALUE"""),136)</f>
        <v>136</v>
      </c>
      <c r="B130" t="str">
        <f ca="1">IFERROR(__xludf.DUMMYFUNCTION("""COMPUTED_VALUE"""),"Česká Třebová")</f>
        <v>Česká Třebová</v>
      </c>
      <c r="C130" t="str">
        <f ca="1">IFERROR(__xludf.DUMMYFUNCTION("""COMPUTED_VALUE"""),"Městská knihovna Česká Třebová")</f>
        <v>Městská knihovna Česká Třebová</v>
      </c>
      <c r="D130" t="str">
        <f ca="1">IFERROR(__xludf.DUMMYFUNCTION("""COMPUTED_VALUE"""),"RoBookWorms")</f>
        <v>RoBookWorms</v>
      </c>
      <c r="E130" s="158">
        <f ca="1">IFERROR(__xludf.DUMMYFUNCTION("""COMPUTED_VALUE"""),0.440972222222222)</f>
        <v>0.44097222222222199</v>
      </c>
      <c r="F130" t="str">
        <f ca="1">IFERROR(__xludf.DUMMYFUNCTION("""COMPUTED_VALUE"""),"A")</f>
        <v>A</v>
      </c>
      <c r="G130" s="158">
        <f ca="1">IFERROR(__xludf.DUMMYFUNCTION("""COMPUTED_VALUE"""),0.511111111111111)</f>
        <v>0.51111111111111096</v>
      </c>
      <c r="H130" t="str">
        <f ca="1">IFERROR(__xludf.DUMMYFUNCTION("""COMPUTED_VALUE"""),"A")</f>
        <v>A</v>
      </c>
      <c r="I130" s="158">
        <f ca="1">IFERROR(__xludf.DUMMYFUNCTION("""COMPUTED_VALUE"""),0.586111111111111)</f>
        <v>0.58611111111111103</v>
      </c>
      <c r="J130" t="str">
        <f ca="1">IFERROR(__xludf.DUMMYFUNCTION("""COMPUTED_VALUE"""),"A")</f>
        <v>A</v>
      </c>
      <c r="K130" t="str">
        <f ca="1">IFERROR(__xludf.DUMMYFUNCTION("""COMPUTED_VALUE"""),"")</f>
        <v/>
      </c>
      <c r="L130" t="str">
        <f ca="1">IFERROR(__xludf.DUMMYFUNCTION("""COMPUTED_VALUE"""),"")</f>
        <v/>
      </c>
      <c r="M130" t="str">
        <f ca="1">IFERROR(__xludf.DUMMYFUNCTION("""COMPUTED_VALUE"""),"")</f>
        <v/>
      </c>
      <c r="N130" t="str">
        <f ca="1">IFERROR(__xludf.DUMMYFUNCTION("""COMPUTED_VALUE"""),"")</f>
        <v/>
      </c>
      <c r="O130" s="158">
        <f ca="1">IFERROR(__xludf.DUMMYFUNCTION("""COMPUTED_VALUE"""),0.498611111111111)</f>
        <v>0.49861111111111101</v>
      </c>
      <c r="P130" t="str">
        <f ca="1">IFERROR(__xludf.DUMMYFUNCTION("""COMPUTED_VALUE"""),"B")</f>
        <v>B</v>
      </c>
      <c r="Q130" s="158">
        <f ca="1">IFERROR(__xludf.DUMMYFUNCTION("""COMPUTED_VALUE"""),0.522222222222222)</f>
        <v>0.52222222222222203</v>
      </c>
      <c r="R130" t="str">
        <f ca="1">IFERROR(__xludf.DUMMYFUNCTION("""COMPUTED_VALUE"""),"B")</f>
        <v>B</v>
      </c>
      <c r="S130" s="158">
        <f ca="1">IFERROR(__xludf.DUMMYFUNCTION("""COMPUTED_VALUE"""),0.560416666666666)</f>
        <v>0.56041666666666601</v>
      </c>
      <c r="T130" t="str">
        <f ca="1">IFERROR(__xludf.DUMMYFUNCTION("""COMPUTED_VALUE"""),"B")</f>
        <v>B</v>
      </c>
      <c r="U130" t="str">
        <f ca="1">IFERROR(__xludf.DUMMYFUNCTION("""COMPUTED_VALUE"""),"")</f>
        <v/>
      </c>
      <c r="V130" t="str">
        <f ca="1">IFERROR(__xludf.DUMMYFUNCTION("""COMPUTED_VALUE"""),"")</f>
        <v/>
      </c>
      <c r="W130" t="str">
        <f ca="1">IFERROR(__xludf.DUMMYFUNCTION("""COMPUTED_VALUE"""),"")</f>
        <v/>
      </c>
      <c r="X130" t="str">
        <f ca="1">IFERROR(__xludf.DUMMYFUNCTION("""COMPUTED_VALUE"""),"")</f>
        <v/>
      </c>
      <c r="Y130" t="str">
        <f ca="1">IFERROR(__xludf.DUMMYFUNCTION("""COMPUTED_VALUE"""),"ZŠ")</f>
        <v>ZŠ</v>
      </c>
      <c r="Z130" t="b">
        <f ca="1">IFERROR(__xludf.DUMMYFUNCTION("""COMPUTED_VALUE"""),TRUE)</f>
        <v>1</v>
      </c>
      <c r="AA130" t="b">
        <f ca="1">IFERROR(__xludf.DUMMYFUNCTION("""COMPUTED_VALUE"""),FALSE)</f>
        <v>0</v>
      </c>
      <c r="AB130" t="b">
        <f ca="1">IFERROR(__xludf.DUMMYFUNCTION("""COMPUTED_VALUE"""),TRUE)</f>
        <v>1</v>
      </c>
      <c r="AC130" t="b">
        <f ca="1">IFERROR(__xludf.DUMMYFUNCTION("""COMPUTED_VALUE"""),TRUE)</f>
        <v>1</v>
      </c>
      <c r="AD130" t="b">
        <f ca="1">IFERROR(__xludf.DUMMYFUNCTION("""COMPUTED_VALUE"""),FALSE)</f>
        <v>0</v>
      </c>
      <c r="AE130" t="b">
        <f ca="1">IFERROR(__xludf.DUMMYFUNCTION("""COMPUTED_VALUE"""),FALSE)</f>
        <v>0</v>
      </c>
      <c r="AF130" t="b">
        <f ca="1">IFERROR(__xludf.DUMMYFUNCTION("""COMPUTED_VALUE"""),FALSE)</f>
        <v>0</v>
      </c>
      <c r="AG130" t="str">
        <f ca="1">IFERROR(__xludf.DUMMYFUNCTION("""COMPUTED_VALUE"""),"Čára (line follower), Dálkový medvěd (bear rescue), Sprint - LEGO (drag race - Lego)")</f>
        <v>Čára (line follower), Dálkový medvěd (bear rescue), Sprint - LEGO (drag race - Lego)</v>
      </c>
    </row>
    <row r="131" spans="1:33" ht="13.2">
      <c r="A131">
        <f ca="1">IFERROR(__xludf.DUMMYFUNCTION("""COMPUTED_VALUE"""),137)</f>
        <v>137</v>
      </c>
      <c r="B131" t="str">
        <f ca="1">IFERROR(__xludf.DUMMYFUNCTION("""COMPUTED_VALUE"""),"Polička")</f>
        <v>Polička</v>
      </c>
      <c r="C131" t="str">
        <f ca="1">IFERROR(__xludf.DUMMYFUNCTION("""COMPUTED_VALUE"""),"Městská knihovna Polička")</f>
        <v>Městská knihovna Polička</v>
      </c>
      <c r="D131" t="str">
        <f ca="1">IFERROR(__xludf.DUMMYFUNCTION("""COMPUTED_VALUE"""),"_Půda Crew 1")</f>
        <v>_Půda Crew 1</v>
      </c>
      <c r="E131" s="158">
        <f ca="1">IFERROR(__xludf.DUMMYFUNCTION("""COMPUTED_VALUE"""),0.44375)</f>
        <v>0.44374999999999998</v>
      </c>
      <c r="F131" t="str">
        <f ca="1">IFERROR(__xludf.DUMMYFUNCTION("""COMPUTED_VALUE"""),"B")</f>
        <v>B</v>
      </c>
      <c r="G131" s="158">
        <f ca="1">IFERROR(__xludf.DUMMYFUNCTION("""COMPUTED_VALUE"""),0.513888888888888)</f>
        <v>0.51388888888888795</v>
      </c>
      <c r="H131" t="str">
        <f ca="1">IFERROR(__xludf.DUMMYFUNCTION("""COMPUTED_VALUE"""),"B")</f>
        <v>B</v>
      </c>
      <c r="I131" s="158">
        <f ca="1">IFERROR(__xludf.DUMMYFUNCTION("""COMPUTED_VALUE"""),0.588888888888888)</f>
        <v>0.58888888888888802</v>
      </c>
      <c r="J131" t="str">
        <f ca="1">IFERROR(__xludf.DUMMYFUNCTION("""COMPUTED_VALUE"""),"B")</f>
        <v>B</v>
      </c>
      <c r="K131" t="str">
        <f ca="1">IFERROR(__xludf.DUMMYFUNCTION("""COMPUTED_VALUE"""),"")</f>
        <v/>
      </c>
      <c r="L131" t="str">
        <f ca="1">IFERROR(__xludf.DUMMYFUNCTION("""COMPUTED_VALUE"""),"")</f>
        <v/>
      </c>
      <c r="M131" t="str">
        <f ca="1">IFERROR(__xludf.DUMMYFUNCTION("""COMPUTED_VALUE"""),"")</f>
        <v/>
      </c>
      <c r="N131" t="str">
        <f ca="1">IFERROR(__xludf.DUMMYFUNCTION("""COMPUTED_VALUE"""),"")</f>
        <v/>
      </c>
      <c r="O131" s="158">
        <f ca="1">IFERROR(__xludf.DUMMYFUNCTION("""COMPUTED_VALUE"""),0.5)</f>
        <v>0.5</v>
      </c>
      <c r="P131" t="str">
        <f ca="1">IFERROR(__xludf.DUMMYFUNCTION("""COMPUTED_VALUE"""),"A")</f>
        <v>A</v>
      </c>
      <c r="Q131" t="str">
        <f ca="1">IFERROR(__xludf.DUMMYFUNCTION("""COMPUTED_VALUE"""),"")</f>
        <v/>
      </c>
      <c r="R131" t="str">
        <f ca="1">IFERROR(__xludf.DUMMYFUNCTION("""COMPUTED_VALUE"""),"")</f>
        <v/>
      </c>
      <c r="S131" t="str">
        <f ca="1">IFERROR(__xludf.DUMMYFUNCTION("""COMPUTED_VALUE"""),"")</f>
        <v/>
      </c>
      <c r="T131" t="str">
        <f ca="1">IFERROR(__xludf.DUMMYFUNCTION("""COMPUTED_VALUE"""),"")</f>
        <v/>
      </c>
      <c r="U131" t="str">
        <f ca="1">IFERROR(__xludf.DUMMYFUNCTION("""COMPUTED_VALUE"""),"")</f>
        <v/>
      </c>
      <c r="V131" t="str">
        <f ca="1">IFERROR(__xludf.DUMMYFUNCTION("""COMPUTED_VALUE"""),"")</f>
        <v/>
      </c>
      <c r="W131" t="str">
        <f ca="1">IFERROR(__xludf.DUMMYFUNCTION("""COMPUTED_VALUE"""),"")</f>
        <v/>
      </c>
      <c r="X131" t="str">
        <f ca="1">IFERROR(__xludf.DUMMYFUNCTION("""COMPUTED_VALUE"""),"")</f>
        <v/>
      </c>
      <c r="Y131" t="str">
        <f ca="1">IFERROR(__xludf.DUMMYFUNCTION("""COMPUTED_VALUE"""),"ZŠ")</f>
        <v>ZŠ</v>
      </c>
      <c r="Z131" t="b">
        <f ca="1">IFERROR(__xludf.DUMMYFUNCTION("""COMPUTED_VALUE"""),TRUE)</f>
        <v>1</v>
      </c>
      <c r="AA131" t="b">
        <f ca="1">IFERROR(__xludf.DUMMYFUNCTION("""COMPUTED_VALUE"""),FALSE)</f>
        <v>0</v>
      </c>
      <c r="AB131" t="b">
        <f ca="1">IFERROR(__xludf.DUMMYFUNCTION("""COMPUTED_VALUE"""),TRUE)</f>
        <v>1</v>
      </c>
      <c r="AC131" t="b">
        <f ca="1">IFERROR(__xludf.DUMMYFUNCTION("""COMPUTED_VALUE"""),FALSE)</f>
        <v>0</v>
      </c>
      <c r="AD131" t="b">
        <f ca="1">IFERROR(__xludf.DUMMYFUNCTION("""COMPUTED_VALUE"""),FALSE)</f>
        <v>0</v>
      </c>
      <c r="AE131" t="b">
        <f ca="1">IFERROR(__xludf.DUMMYFUNCTION("""COMPUTED_VALUE"""),FALSE)</f>
        <v>0</v>
      </c>
      <c r="AF131" t="b">
        <f ca="1">IFERROR(__xludf.DUMMYFUNCTION("""COMPUTED_VALUE"""),FALSE)</f>
        <v>0</v>
      </c>
      <c r="AG131" t="str">
        <f ca="1">IFERROR(__xludf.DUMMYFUNCTION("""COMPUTED_VALUE"""),"Čára (line follower), Dálkový medvěd (bear rescue)")</f>
        <v>Čára (line follower), Dálkový medvěd (bear rescue)</v>
      </c>
    </row>
    <row r="132" spans="1:33" ht="13.2">
      <c r="A132">
        <f ca="1">IFERROR(__xludf.DUMMYFUNCTION("""COMPUTED_VALUE"""),138)</f>
        <v>138</v>
      </c>
      <c r="B132" t="str">
        <f ca="1">IFERROR(__xludf.DUMMYFUNCTION("""COMPUTED_VALUE"""),"Polička")</f>
        <v>Polička</v>
      </c>
      <c r="C132" t="str">
        <f ca="1">IFERROR(__xludf.DUMMYFUNCTION("""COMPUTED_VALUE"""),"Městská knihovna Polička")</f>
        <v>Městská knihovna Polička</v>
      </c>
      <c r="D132" t="str">
        <f ca="1">IFERROR(__xludf.DUMMYFUNCTION("""COMPUTED_VALUE"""),"_Půda Crew 2")</f>
        <v>_Půda Crew 2</v>
      </c>
      <c r="E132" s="158">
        <f ca="1">IFERROR(__xludf.DUMMYFUNCTION("""COMPUTED_VALUE"""),0.442361111111111)</f>
        <v>0.44236111111111098</v>
      </c>
      <c r="F132" t="str">
        <f ca="1">IFERROR(__xludf.DUMMYFUNCTION("""COMPUTED_VALUE"""),"A")</f>
        <v>A</v>
      </c>
      <c r="G132" s="158">
        <f ca="1">IFERROR(__xludf.DUMMYFUNCTION("""COMPUTED_VALUE"""),0.5125)</f>
        <v>0.51249999999999996</v>
      </c>
      <c r="H132" t="str">
        <f ca="1">IFERROR(__xludf.DUMMYFUNCTION("""COMPUTED_VALUE"""),"A")</f>
        <v>A</v>
      </c>
      <c r="I132" s="158">
        <f ca="1">IFERROR(__xludf.DUMMYFUNCTION("""COMPUTED_VALUE"""),0.5875)</f>
        <v>0.58750000000000002</v>
      </c>
      <c r="J132" t="str">
        <f ca="1">IFERROR(__xludf.DUMMYFUNCTION("""COMPUTED_VALUE"""),"A")</f>
        <v>A</v>
      </c>
      <c r="K132" t="str">
        <f ca="1">IFERROR(__xludf.DUMMYFUNCTION("""COMPUTED_VALUE"""),"")</f>
        <v/>
      </c>
      <c r="L132" t="str">
        <f ca="1">IFERROR(__xludf.DUMMYFUNCTION("""COMPUTED_VALUE"""),"")</f>
        <v/>
      </c>
      <c r="M132" t="str">
        <f ca="1">IFERROR(__xludf.DUMMYFUNCTION("""COMPUTED_VALUE"""),"")</f>
        <v/>
      </c>
      <c r="N132" t="str">
        <f ca="1">IFERROR(__xludf.DUMMYFUNCTION("""COMPUTED_VALUE"""),"")</f>
        <v/>
      </c>
      <c r="O132" t="str">
        <f ca="1">IFERROR(__xludf.DUMMYFUNCTION("""COMPUTED_VALUE"""),"")</f>
        <v/>
      </c>
      <c r="P132" t="str">
        <f ca="1">IFERROR(__xludf.DUMMYFUNCTION("""COMPUTED_VALUE"""),"")</f>
        <v/>
      </c>
      <c r="Q132" s="158">
        <f ca="1">IFERROR(__xludf.DUMMYFUNCTION("""COMPUTED_VALUE"""),0.522916666666666)</f>
        <v>0.52291666666666603</v>
      </c>
      <c r="R132" t="str">
        <f ca="1">IFERROR(__xludf.DUMMYFUNCTION("""COMPUTED_VALUE"""),"A")</f>
        <v>A</v>
      </c>
      <c r="S132" s="158">
        <f ca="1">IFERROR(__xludf.DUMMYFUNCTION("""COMPUTED_VALUE"""),0.561111111111111)</f>
        <v>0.56111111111111101</v>
      </c>
      <c r="T132" t="str">
        <f ca="1">IFERROR(__xludf.DUMMYFUNCTION("""COMPUTED_VALUE"""),"A")</f>
        <v>A</v>
      </c>
      <c r="U132" t="str">
        <f ca="1">IFERROR(__xludf.DUMMYFUNCTION("""COMPUTED_VALUE"""),"")</f>
        <v/>
      </c>
      <c r="V132" t="str">
        <f ca="1">IFERROR(__xludf.DUMMYFUNCTION("""COMPUTED_VALUE"""),"")</f>
        <v/>
      </c>
      <c r="W132" t="str">
        <f ca="1">IFERROR(__xludf.DUMMYFUNCTION("""COMPUTED_VALUE"""),"")</f>
        <v/>
      </c>
      <c r="X132" t="str">
        <f ca="1">IFERROR(__xludf.DUMMYFUNCTION("""COMPUTED_VALUE"""),"")</f>
        <v/>
      </c>
      <c r="Y132" t="str">
        <f ca="1">IFERROR(__xludf.DUMMYFUNCTION("""COMPUTED_VALUE"""),"ZŠ")</f>
        <v>ZŠ</v>
      </c>
      <c r="Z132" t="b">
        <f ca="1">IFERROR(__xludf.DUMMYFUNCTION("""COMPUTED_VALUE"""),FALSE)</f>
        <v>0</v>
      </c>
      <c r="AA132" t="b">
        <f ca="1">IFERROR(__xludf.DUMMYFUNCTION("""COMPUTED_VALUE"""),FALSE)</f>
        <v>0</v>
      </c>
      <c r="AB132" t="b">
        <f ca="1">IFERROR(__xludf.DUMMYFUNCTION("""COMPUTED_VALUE"""),FALSE)</f>
        <v>0</v>
      </c>
      <c r="AC132" t="b">
        <f ca="1">IFERROR(__xludf.DUMMYFUNCTION("""COMPUTED_VALUE"""),TRUE)</f>
        <v>1</v>
      </c>
      <c r="AD132" t="b">
        <f ca="1">IFERROR(__xludf.DUMMYFUNCTION("""COMPUTED_VALUE"""),FALSE)</f>
        <v>0</v>
      </c>
      <c r="AE132" t="b">
        <f ca="1">IFERROR(__xludf.DUMMYFUNCTION("""COMPUTED_VALUE"""),FALSE)</f>
        <v>0</v>
      </c>
      <c r="AF132" t="b">
        <f ca="1">IFERROR(__xludf.DUMMYFUNCTION("""COMPUTED_VALUE"""),FALSE)</f>
        <v>0</v>
      </c>
      <c r="AG132" t="str">
        <f ca="1">IFERROR(__xludf.DUMMYFUNCTION("""COMPUTED_VALUE"""),"Čára (line follower), Sprint - LEGO (drag race - Lego)")</f>
        <v>Čára (line follower), Sprint - LEGO (drag race - Lego)</v>
      </c>
    </row>
    <row r="133" spans="1:33" ht="13.2">
      <c r="A133">
        <f ca="1">IFERROR(__xludf.DUMMYFUNCTION("""COMPUTED_VALUE"""),139)</f>
        <v>139</v>
      </c>
      <c r="B133" t="str">
        <f ca="1">IFERROR(__xludf.DUMMYFUNCTION("""COMPUTED_VALUE"""),"Polička")</f>
        <v>Polička</v>
      </c>
      <c r="C133" t="str">
        <f ca="1">IFERROR(__xludf.DUMMYFUNCTION("""COMPUTED_VALUE"""),"Městská knihovna Polička")</f>
        <v>Městská knihovna Polička</v>
      </c>
      <c r="D133" t="str">
        <f ca="1">IFERROR(__xludf.DUMMYFUNCTION("""COMPUTED_VALUE"""),"_Půda Crew 3")</f>
        <v>_Půda Crew 3</v>
      </c>
      <c r="E133" s="158">
        <f ca="1">IFERROR(__xludf.DUMMYFUNCTION("""COMPUTED_VALUE"""),0.445138888888888)</f>
        <v>0.44513888888888797</v>
      </c>
      <c r="F133" t="str">
        <f ca="1">IFERROR(__xludf.DUMMYFUNCTION("""COMPUTED_VALUE"""),"B")</f>
        <v>B</v>
      </c>
      <c r="G133" s="158">
        <f ca="1">IFERROR(__xludf.DUMMYFUNCTION("""COMPUTED_VALUE"""),0.515277777777777)</f>
        <v>0.51527777777777695</v>
      </c>
      <c r="H133" t="str">
        <f ca="1">IFERROR(__xludf.DUMMYFUNCTION("""COMPUTED_VALUE"""),"B")</f>
        <v>B</v>
      </c>
      <c r="I133" s="158">
        <f ca="1">IFERROR(__xludf.DUMMYFUNCTION("""COMPUTED_VALUE"""),0.590277777777777)</f>
        <v>0.59027777777777701</v>
      </c>
      <c r="J133" t="str">
        <f ca="1">IFERROR(__xludf.DUMMYFUNCTION("""COMPUTED_VALUE"""),"B")</f>
        <v>B</v>
      </c>
      <c r="K133" t="str">
        <f ca="1">IFERROR(__xludf.DUMMYFUNCTION("""COMPUTED_VALUE"""),"")</f>
        <v/>
      </c>
      <c r="L133" t="str">
        <f ca="1">IFERROR(__xludf.DUMMYFUNCTION("""COMPUTED_VALUE"""),"")</f>
        <v/>
      </c>
      <c r="M133" t="str">
        <f ca="1">IFERROR(__xludf.DUMMYFUNCTION("""COMPUTED_VALUE"""),"")</f>
        <v/>
      </c>
      <c r="N133" t="str">
        <f ca="1">IFERROR(__xludf.DUMMYFUNCTION("""COMPUTED_VALUE"""),"")</f>
        <v/>
      </c>
      <c r="O133" s="158">
        <f ca="1">IFERROR(__xludf.DUMMYFUNCTION("""COMPUTED_VALUE"""),0.5)</f>
        <v>0.5</v>
      </c>
      <c r="P133" t="str">
        <f ca="1">IFERROR(__xludf.DUMMYFUNCTION("""COMPUTED_VALUE"""),"B")</f>
        <v>B</v>
      </c>
      <c r="Q133" t="str">
        <f ca="1">IFERROR(__xludf.DUMMYFUNCTION("""COMPUTED_VALUE"""),"")</f>
        <v/>
      </c>
      <c r="R133" t="str">
        <f ca="1">IFERROR(__xludf.DUMMYFUNCTION("""COMPUTED_VALUE"""),"")</f>
        <v/>
      </c>
      <c r="S133" t="str">
        <f ca="1">IFERROR(__xludf.DUMMYFUNCTION("""COMPUTED_VALUE"""),"")</f>
        <v/>
      </c>
      <c r="T133" t="str">
        <f ca="1">IFERROR(__xludf.DUMMYFUNCTION("""COMPUTED_VALUE"""),"")</f>
        <v/>
      </c>
      <c r="U133" t="str">
        <f ca="1">IFERROR(__xludf.DUMMYFUNCTION("""COMPUTED_VALUE"""),"")</f>
        <v/>
      </c>
      <c r="V133" t="str">
        <f ca="1">IFERROR(__xludf.DUMMYFUNCTION("""COMPUTED_VALUE"""),"")</f>
        <v/>
      </c>
      <c r="W133" t="str">
        <f ca="1">IFERROR(__xludf.DUMMYFUNCTION("""COMPUTED_VALUE"""),"")</f>
        <v/>
      </c>
      <c r="X133" t="str">
        <f ca="1">IFERROR(__xludf.DUMMYFUNCTION("""COMPUTED_VALUE"""),"")</f>
        <v/>
      </c>
      <c r="Y133" t="str">
        <f ca="1">IFERROR(__xludf.DUMMYFUNCTION("""COMPUTED_VALUE"""),"ZŠ")</f>
        <v>ZŠ</v>
      </c>
      <c r="Z133" t="b">
        <f ca="1">IFERROR(__xludf.DUMMYFUNCTION("""COMPUTED_VALUE"""),TRUE)</f>
        <v>1</v>
      </c>
      <c r="AA133" t="b">
        <f ca="1">IFERROR(__xludf.DUMMYFUNCTION("""COMPUTED_VALUE"""),FALSE)</f>
        <v>0</v>
      </c>
      <c r="AB133" t="b">
        <f ca="1">IFERROR(__xludf.DUMMYFUNCTION("""COMPUTED_VALUE"""),TRUE)</f>
        <v>1</v>
      </c>
      <c r="AC133" t="b">
        <f ca="1">IFERROR(__xludf.DUMMYFUNCTION("""COMPUTED_VALUE"""),FALSE)</f>
        <v>0</v>
      </c>
      <c r="AD133" t="b">
        <f ca="1">IFERROR(__xludf.DUMMYFUNCTION("""COMPUTED_VALUE"""),FALSE)</f>
        <v>0</v>
      </c>
      <c r="AE133" t="b">
        <f ca="1">IFERROR(__xludf.DUMMYFUNCTION("""COMPUTED_VALUE"""),FALSE)</f>
        <v>0</v>
      </c>
      <c r="AF133" t="b">
        <f ca="1">IFERROR(__xludf.DUMMYFUNCTION("""COMPUTED_VALUE"""),FALSE)</f>
        <v>0</v>
      </c>
      <c r="AG133" t="str">
        <f ca="1">IFERROR(__xludf.DUMMYFUNCTION("""COMPUTED_VALUE"""),"Čára (line follower), Dálkový medvěd (bear rescue)")</f>
        <v>Čára (line follower), Dálkový medvěd (bear rescue)</v>
      </c>
    </row>
    <row r="134" spans="1:33" ht="13.2">
      <c r="A134">
        <f ca="1">IFERROR(__xludf.DUMMYFUNCTION("""COMPUTED_VALUE"""),140)</f>
        <v>140</v>
      </c>
      <c r="B134" t="str">
        <f ca="1">IFERROR(__xludf.DUMMYFUNCTION("""COMPUTED_VALUE"""),"Žilina")</f>
        <v>Žilina</v>
      </c>
      <c r="C134" t="str">
        <f ca="1">IFERROR(__xludf.DUMMYFUNCTION("""COMPUTED_VALUE"""),"SOŠ elektrotechnická Žilina")</f>
        <v>SOŠ elektrotechnická Žilina</v>
      </c>
      <c r="D134" t="str">
        <f ca="1">IFERROR(__xludf.DUMMYFUNCTION("""COMPUTED_VALUE"""),"SOŠ-E Žilina")</f>
        <v>SOŠ-E Žilina</v>
      </c>
      <c r="E134" s="158">
        <f ca="1">IFERROR(__xludf.DUMMYFUNCTION("""COMPUTED_VALUE"""),0.44375)</f>
        <v>0.44374999999999998</v>
      </c>
      <c r="F134" t="str">
        <f ca="1">IFERROR(__xludf.DUMMYFUNCTION("""COMPUTED_VALUE"""),"A")</f>
        <v>A</v>
      </c>
      <c r="G134" s="158">
        <f ca="1">IFERROR(__xludf.DUMMYFUNCTION("""COMPUTED_VALUE"""),0.513888888888888)</f>
        <v>0.51388888888888795</v>
      </c>
      <c r="H134" t="str">
        <f ca="1">IFERROR(__xludf.DUMMYFUNCTION("""COMPUTED_VALUE"""),"A")</f>
        <v>A</v>
      </c>
      <c r="I134" s="158">
        <f ca="1">IFERROR(__xludf.DUMMYFUNCTION("""COMPUTED_VALUE"""),0.588888888888888)</f>
        <v>0.58888888888888802</v>
      </c>
      <c r="J134" t="str">
        <f ca="1">IFERROR(__xludf.DUMMYFUNCTION("""COMPUTED_VALUE"""),"A")</f>
        <v>A</v>
      </c>
      <c r="K134" t="str">
        <f ca="1">IFERROR(__xludf.DUMMYFUNCTION("""COMPUTED_VALUE"""),"")</f>
        <v/>
      </c>
      <c r="L134" t="str">
        <f ca="1">IFERROR(__xludf.DUMMYFUNCTION("""COMPUTED_VALUE"""),"")</f>
        <v/>
      </c>
      <c r="M134" t="str">
        <f ca="1">IFERROR(__xludf.DUMMYFUNCTION("""COMPUTED_VALUE"""),"")</f>
        <v/>
      </c>
      <c r="N134" t="str">
        <f ca="1">IFERROR(__xludf.DUMMYFUNCTION("""COMPUTED_VALUE"""),"")</f>
        <v/>
      </c>
      <c r="O134" t="str">
        <f ca="1">IFERROR(__xludf.DUMMYFUNCTION("""COMPUTED_VALUE"""),"")</f>
        <v/>
      </c>
      <c r="P134" t="str">
        <f ca="1">IFERROR(__xludf.DUMMYFUNCTION("""COMPUTED_VALUE"""),"")</f>
        <v/>
      </c>
      <c r="Q134" s="158">
        <f ca="1">IFERROR(__xludf.DUMMYFUNCTION("""COMPUTED_VALUE"""),0.522916666666666)</f>
        <v>0.52291666666666603</v>
      </c>
      <c r="R134" t="str">
        <f ca="1">IFERROR(__xludf.DUMMYFUNCTION("""COMPUTED_VALUE"""),"B")</f>
        <v>B</v>
      </c>
      <c r="S134" s="158">
        <f ca="1">IFERROR(__xludf.DUMMYFUNCTION("""COMPUTED_VALUE"""),0.561111111111111)</f>
        <v>0.56111111111111101</v>
      </c>
      <c r="T134" t="str">
        <f ca="1">IFERROR(__xludf.DUMMYFUNCTION("""COMPUTED_VALUE"""),"B")</f>
        <v>B</v>
      </c>
      <c r="U134" t="str">
        <f ca="1">IFERROR(__xludf.DUMMYFUNCTION("""COMPUTED_VALUE"""),"")</f>
        <v/>
      </c>
      <c r="V134" t="str">
        <f ca="1">IFERROR(__xludf.DUMMYFUNCTION("""COMPUTED_VALUE"""),"")</f>
        <v/>
      </c>
      <c r="W134" t="str">
        <f ca="1">IFERROR(__xludf.DUMMYFUNCTION("""COMPUTED_VALUE"""),"")</f>
        <v/>
      </c>
      <c r="X134" t="str">
        <f ca="1">IFERROR(__xludf.DUMMYFUNCTION("""COMPUTED_VALUE"""),"")</f>
        <v/>
      </c>
      <c r="Y134" t="str">
        <f ca="1">IFERROR(__xludf.DUMMYFUNCTION("""COMPUTED_VALUE"""),"SŠ")</f>
        <v>SŠ</v>
      </c>
      <c r="Z134" t="b">
        <f ca="1">IFERROR(__xludf.DUMMYFUNCTION("""COMPUTED_VALUE"""),TRUE)</f>
        <v>1</v>
      </c>
      <c r="AA134" t="b">
        <f ca="1">IFERROR(__xludf.DUMMYFUNCTION("""COMPUTED_VALUE"""),FALSE)</f>
        <v>0</v>
      </c>
      <c r="AB134" t="b">
        <f ca="1">IFERROR(__xludf.DUMMYFUNCTION("""COMPUTED_VALUE"""),FALSE)</f>
        <v>0</v>
      </c>
      <c r="AC134" t="b">
        <f ca="1">IFERROR(__xludf.DUMMYFUNCTION("""COMPUTED_VALUE"""),TRUE)</f>
        <v>1</v>
      </c>
      <c r="AD134" t="b">
        <f ca="1">IFERROR(__xludf.DUMMYFUNCTION("""COMPUTED_VALUE"""),FALSE)</f>
        <v>0</v>
      </c>
      <c r="AE134" t="b">
        <f ca="1">IFERROR(__xludf.DUMMYFUNCTION("""COMPUTED_VALUE"""),FALSE)</f>
        <v>0</v>
      </c>
      <c r="AF134" t="b">
        <f ca="1">IFERROR(__xludf.DUMMYFUNCTION("""COMPUTED_VALUE"""),FALSE)</f>
        <v>0</v>
      </c>
      <c r="AG134" t="str">
        <f ca="1">IFERROR(__xludf.DUMMYFUNCTION("""COMPUTED_VALUE"""),"Čára (line follower), Sprint - LEGO (drag race - Lego)")</f>
        <v>Čára (line follower), Sprint - LEGO (drag race - Lego)</v>
      </c>
    </row>
    <row r="135" spans="1:33" ht="13.2">
      <c r="A135">
        <f ca="1">IFERROR(__xludf.DUMMYFUNCTION("""COMPUTED_VALUE"""),141)</f>
        <v>141</v>
      </c>
      <c r="B135" t="str">
        <f ca="1">IFERROR(__xludf.DUMMYFUNCTION("""COMPUTED_VALUE"""),"Sabinov")</f>
        <v>Sabinov</v>
      </c>
      <c r="C135" t="str">
        <f ca="1">IFERROR(__xludf.DUMMYFUNCTION("""COMPUTED_VALUE"""),"SPŠ elektrotechnická Prešov")</f>
        <v>SPŠ elektrotechnická Prešov</v>
      </c>
      <c r="D135" t="str">
        <f ca="1">IFERROR(__xludf.DUMMYFUNCTION("""COMPUTED_VALUE"""),"DELTA")</f>
        <v>DELTA</v>
      </c>
      <c r="E135" s="158">
        <f ca="1">IFERROR(__xludf.DUMMYFUNCTION("""COMPUTED_VALUE"""),0.446527777777777)</f>
        <v>0.44652777777777702</v>
      </c>
      <c r="F135" t="str">
        <f ca="1">IFERROR(__xludf.DUMMYFUNCTION("""COMPUTED_VALUE"""),"B")</f>
        <v>B</v>
      </c>
      <c r="G135" s="158">
        <f ca="1">IFERROR(__xludf.DUMMYFUNCTION("""COMPUTED_VALUE"""),0.516666666666666)</f>
        <v>0.51666666666666605</v>
      </c>
      <c r="H135" t="str">
        <f ca="1">IFERROR(__xludf.DUMMYFUNCTION("""COMPUTED_VALUE"""),"B")</f>
        <v>B</v>
      </c>
      <c r="I135" s="158">
        <f ca="1">IFERROR(__xludf.DUMMYFUNCTION("""COMPUTED_VALUE"""),0.591666666666666)</f>
        <v>0.59166666666666601</v>
      </c>
      <c r="J135" t="str">
        <f ca="1">IFERROR(__xludf.DUMMYFUNCTION("""COMPUTED_VALUE"""),"B")</f>
        <v>B</v>
      </c>
      <c r="K135" s="158">
        <f ca="1">IFERROR(__xludf.DUMMYFUNCTION("""COMPUTED_VALUE"""),0.468055555555555)</f>
        <v>0.468055555555555</v>
      </c>
      <c r="L135" t="str">
        <f ca="1">IFERROR(__xludf.DUMMYFUNCTION("""COMPUTED_VALUE"""),"A")</f>
        <v>A</v>
      </c>
      <c r="M135" s="158">
        <f ca="1">IFERROR(__xludf.DUMMYFUNCTION("""COMPUTED_VALUE"""),0.558333333333333)</f>
        <v>0.55833333333333302</v>
      </c>
      <c r="N135" t="str">
        <f ca="1">IFERROR(__xludf.DUMMYFUNCTION("""COMPUTED_VALUE"""),"A")</f>
        <v>A</v>
      </c>
      <c r="O135" s="158">
        <f ca="1">IFERROR(__xludf.DUMMYFUNCTION("""COMPUTED_VALUE"""),0.501388888888888)</f>
        <v>0.501388888888888</v>
      </c>
      <c r="P135" t="str">
        <f ca="1">IFERROR(__xludf.DUMMYFUNCTION("""COMPUTED_VALUE"""),"A")</f>
        <v>A</v>
      </c>
      <c r="Q135" t="str">
        <f ca="1">IFERROR(__xludf.DUMMYFUNCTION("""COMPUTED_VALUE"""),"")</f>
        <v/>
      </c>
      <c r="R135" t="str">
        <f ca="1">IFERROR(__xludf.DUMMYFUNCTION("""COMPUTED_VALUE"""),"")</f>
        <v/>
      </c>
      <c r="S135" t="str">
        <f ca="1">IFERROR(__xludf.DUMMYFUNCTION("""COMPUTED_VALUE"""),"")</f>
        <v/>
      </c>
      <c r="T135" t="str">
        <f ca="1">IFERROR(__xludf.DUMMYFUNCTION("""COMPUTED_VALUE"""),"")</f>
        <v/>
      </c>
      <c r="U135" s="158">
        <f ca="1">IFERROR(__xludf.DUMMYFUNCTION("""COMPUTED_VALUE"""),0.535416666666666)</f>
        <v>0.53541666666666599</v>
      </c>
      <c r="V135" t="str">
        <f ca="1">IFERROR(__xludf.DUMMYFUNCTION("""COMPUTED_VALUE"""),"A")</f>
        <v>A</v>
      </c>
      <c r="W135" s="158">
        <f ca="1">IFERROR(__xludf.DUMMYFUNCTION("""COMPUTED_VALUE"""),0.573611111111111)</f>
        <v>0.57361111111111096</v>
      </c>
      <c r="X135" t="str">
        <f ca="1">IFERROR(__xludf.DUMMYFUNCTION("""COMPUTED_VALUE"""),"A")</f>
        <v>A</v>
      </c>
      <c r="Y135" t="str">
        <f ca="1">IFERROR(__xludf.DUMMYFUNCTION("""COMPUTED_VALUE"""),"SŠ")</f>
        <v>SŠ</v>
      </c>
      <c r="Z135" t="b">
        <f ca="1">IFERROR(__xludf.DUMMYFUNCTION("""COMPUTED_VALUE"""),TRUE)</f>
        <v>1</v>
      </c>
      <c r="AA135" t="b">
        <f ca="1">IFERROR(__xludf.DUMMYFUNCTION("""COMPUTED_VALUE"""),TRUE)</f>
        <v>1</v>
      </c>
      <c r="AB135" t="b">
        <f ca="1">IFERROR(__xludf.DUMMYFUNCTION("""COMPUTED_VALUE"""),TRUE)</f>
        <v>1</v>
      </c>
      <c r="AC135" t="b">
        <f ca="1">IFERROR(__xludf.DUMMYFUNCTION("""COMPUTED_VALUE"""),FALSE)</f>
        <v>0</v>
      </c>
      <c r="AD135" t="b">
        <f ca="1">IFERROR(__xludf.DUMMYFUNCTION("""COMPUTED_VALUE"""),TRUE)</f>
        <v>1</v>
      </c>
      <c r="AE135" t="b">
        <f ca="1">IFERROR(__xludf.DUMMYFUNCTION("""COMPUTED_VALUE"""),TRUE)</f>
        <v>1</v>
      </c>
      <c r="AF135" t="b">
        <f ca="1">IFERROR(__xludf.DUMMYFUNCTION("""COMPUTED_VALUE"""),FALSE)</f>
        <v>0</v>
      </c>
      <c r="AG135" t="str">
        <f ca="1">IFERROR(__xludf.DUMMYFUNCTION("""COMPUTED_VALUE"""),"Čára (line follower), Dálkový medvěd (bear rescue), Autonomní medvěd (bear rescue advance), Sprint - NeLEGOvý (drag race - Non Lego), Freestyle")</f>
        <v>Čára (line follower), Dálkový medvěd (bear rescue), Autonomní medvěd (bear rescue advance), Sprint - NeLEGOvý (drag race - Non Lego), Freestyle</v>
      </c>
    </row>
    <row r="136" spans="1:33" ht="13.2">
      <c r="A136">
        <f ca="1">IFERROR(__xludf.DUMMYFUNCTION("""COMPUTED_VALUE"""),142)</f>
        <v>142</v>
      </c>
      <c r="B136" t="str">
        <f ca="1">IFERROR(__xludf.DUMMYFUNCTION("""COMPUTED_VALUE"""),"Karviná")</f>
        <v>Karviná</v>
      </c>
      <c r="C136" t="str">
        <f ca="1">IFERROR(__xludf.DUMMYFUNCTION("""COMPUTED_VALUE"""),"SPŠ Karviná")</f>
        <v>SPŠ Karviná</v>
      </c>
      <c r="D136" t="str">
        <f ca="1">IFERROR(__xludf.DUMMYFUNCTION("""COMPUTED_VALUE"""),"M.O.K.O")</f>
        <v>M.O.K.O</v>
      </c>
      <c r="E136" s="158">
        <f ca="1">IFERROR(__xludf.DUMMYFUNCTION("""COMPUTED_VALUE"""),0.445138888888888)</f>
        <v>0.44513888888888797</v>
      </c>
      <c r="F136" t="str">
        <f ca="1">IFERROR(__xludf.DUMMYFUNCTION("""COMPUTED_VALUE"""),"A")</f>
        <v>A</v>
      </c>
      <c r="G136" s="158">
        <f ca="1">IFERROR(__xludf.DUMMYFUNCTION("""COMPUTED_VALUE"""),0.515277777777777)</f>
        <v>0.51527777777777695</v>
      </c>
      <c r="H136" t="str">
        <f ca="1">IFERROR(__xludf.DUMMYFUNCTION("""COMPUTED_VALUE"""),"A")</f>
        <v>A</v>
      </c>
      <c r="I136" s="158">
        <f ca="1">IFERROR(__xludf.DUMMYFUNCTION("""COMPUTED_VALUE"""),0.590277777777777)</f>
        <v>0.59027777777777701</v>
      </c>
      <c r="J136" t="str">
        <f ca="1">IFERROR(__xludf.DUMMYFUNCTION("""COMPUTED_VALUE"""),"A")</f>
        <v>A</v>
      </c>
      <c r="K136" t="str">
        <f ca="1">IFERROR(__xludf.DUMMYFUNCTION("""COMPUTED_VALUE"""),"")</f>
        <v/>
      </c>
      <c r="L136" t="str">
        <f ca="1">IFERROR(__xludf.DUMMYFUNCTION("""COMPUTED_VALUE"""),"")</f>
        <v/>
      </c>
      <c r="M136" t="str">
        <f ca="1">IFERROR(__xludf.DUMMYFUNCTION("""COMPUTED_VALUE"""),"")</f>
        <v/>
      </c>
      <c r="N136" t="str">
        <f ca="1">IFERROR(__xludf.DUMMYFUNCTION("""COMPUTED_VALUE"""),"")</f>
        <v/>
      </c>
      <c r="O136" s="158">
        <f ca="1">IFERROR(__xludf.DUMMYFUNCTION("""COMPUTED_VALUE"""),0.501388888888888)</f>
        <v>0.501388888888888</v>
      </c>
      <c r="P136" t="str">
        <f ca="1">IFERROR(__xludf.DUMMYFUNCTION("""COMPUTED_VALUE"""),"B")</f>
        <v>B</v>
      </c>
      <c r="Q136" s="158">
        <f ca="1">IFERROR(__xludf.DUMMYFUNCTION("""COMPUTED_VALUE"""),0.523611111111111)</f>
        <v>0.52361111111111103</v>
      </c>
      <c r="R136" t="str">
        <f ca="1">IFERROR(__xludf.DUMMYFUNCTION("""COMPUTED_VALUE"""),"A")</f>
        <v>A</v>
      </c>
      <c r="S136" s="158">
        <f ca="1">IFERROR(__xludf.DUMMYFUNCTION("""COMPUTED_VALUE"""),0.561805555555555)</f>
        <v>0.561805555555555</v>
      </c>
      <c r="T136" t="str">
        <f ca="1">IFERROR(__xludf.DUMMYFUNCTION("""COMPUTED_VALUE"""),"A")</f>
        <v>A</v>
      </c>
      <c r="U136" t="str">
        <f ca="1">IFERROR(__xludf.DUMMYFUNCTION("""COMPUTED_VALUE"""),"")</f>
        <v/>
      </c>
      <c r="V136" t="str">
        <f ca="1">IFERROR(__xludf.DUMMYFUNCTION("""COMPUTED_VALUE"""),"")</f>
        <v/>
      </c>
      <c r="W136" t="str">
        <f ca="1">IFERROR(__xludf.DUMMYFUNCTION("""COMPUTED_VALUE"""),"")</f>
        <v/>
      </c>
      <c r="X136" t="str">
        <f ca="1">IFERROR(__xludf.DUMMYFUNCTION("""COMPUTED_VALUE"""),"")</f>
        <v/>
      </c>
      <c r="Y136" t="str">
        <f ca="1">IFERROR(__xludf.DUMMYFUNCTION("""COMPUTED_VALUE"""),"SŠ")</f>
        <v>SŠ</v>
      </c>
      <c r="Z136" t="b">
        <f ca="1">IFERROR(__xludf.DUMMYFUNCTION("""COMPUTED_VALUE"""),TRUE)</f>
        <v>1</v>
      </c>
      <c r="AA136" t="b">
        <f ca="1">IFERROR(__xludf.DUMMYFUNCTION("""COMPUTED_VALUE"""),FALSE)</f>
        <v>0</v>
      </c>
      <c r="AB136" t="b">
        <f ca="1">IFERROR(__xludf.DUMMYFUNCTION("""COMPUTED_VALUE"""),TRUE)</f>
        <v>1</v>
      </c>
      <c r="AC136" t="b">
        <f ca="1">IFERROR(__xludf.DUMMYFUNCTION("""COMPUTED_VALUE"""),TRUE)</f>
        <v>1</v>
      </c>
      <c r="AD136" t="b">
        <f ca="1">IFERROR(__xludf.DUMMYFUNCTION("""COMPUTED_VALUE"""),FALSE)</f>
        <v>0</v>
      </c>
      <c r="AE136" t="b">
        <f ca="1">IFERROR(__xludf.DUMMYFUNCTION("""COMPUTED_VALUE"""),FALSE)</f>
        <v>0</v>
      </c>
      <c r="AF136" t="b">
        <f ca="1">IFERROR(__xludf.DUMMYFUNCTION("""COMPUTED_VALUE"""),FALSE)</f>
        <v>0</v>
      </c>
      <c r="AG136" t="str">
        <f ca="1">IFERROR(__xludf.DUMMYFUNCTION("""COMPUTED_VALUE"""),"Čára (line follower), Dálkový medvěd (bear rescue), Sprint - LEGO (drag race - Lego)")</f>
        <v>Čára (line follower), Dálkový medvěd (bear rescue), Sprint - LEGO (drag race - Lego)</v>
      </c>
    </row>
    <row r="137" spans="1:33" ht="13.2">
      <c r="A137">
        <f ca="1">IFERROR(__xludf.DUMMYFUNCTION("""COMPUTED_VALUE"""),143)</f>
        <v>143</v>
      </c>
      <c r="B137" t="str">
        <f ca="1">IFERROR(__xludf.DUMMYFUNCTION("""COMPUTED_VALUE"""),"Praha")</f>
        <v>Praha</v>
      </c>
      <c r="C137" t="str">
        <f ca="1">IFERROR(__xludf.DUMMYFUNCTION("""COMPUTED_VALUE"""),"SPŠ Prosek")</f>
        <v>SPŠ Prosek</v>
      </c>
      <c r="D137" t="str">
        <f ca="1">IFERROR(__xludf.DUMMYFUNCTION("""COMPUTED_VALUE"""),"Jazdaa")</f>
        <v>Jazdaa</v>
      </c>
      <c r="E137" s="158">
        <f ca="1">IFERROR(__xludf.DUMMYFUNCTION("""COMPUTED_VALUE"""),0.447916666666666)</f>
        <v>0.44791666666666602</v>
      </c>
      <c r="F137" t="str">
        <f ca="1">IFERROR(__xludf.DUMMYFUNCTION("""COMPUTED_VALUE"""),"B")</f>
        <v>B</v>
      </c>
      <c r="G137" s="158">
        <f ca="1">IFERROR(__xludf.DUMMYFUNCTION("""COMPUTED_VALUE"""),0.518055555555555)</f>
        <v>0.51805555555555505</v>
      </c>
      <c r="H137" t="str">
        <f ca="1">IFERROR(__xludf.DUMMYFUNCTION("""COMPUTED_VALUE"""),"B")</f>
        <v>B</v>
      </c>
      <c r="I137" s="158">
        <f ca="1">IFERROR(__xludf.DUMMYFUNCTION("""COMPUTED_VALUE"""),0.593055555555555)</f>
        <v>0.593055555555555</v>
      </c>
      <c r="J137" t="str">
        <f ca="1">IFERROR(__xludf.DUMMYFUNCTION("""COMPUTED_VALUE"""),"B")</f>
        <v>B</v>
      </c>
      <c r="K137" t="str">
        <f ca="1">IFERROR(__xludf.DUMMYFUNCTION("""COMPUTED_VALUE"""),"")</f>
        <v/>
      </c>
      <c r="L137" t="str">
        <f ca="1">IFERROR(__xludf.DUMMYFUNCTION("""COMPUTED_VALUE"""),"")</f>
        <v/>
      </c>
      <c r="M137" t="str">
        <f ca="1">IFERROR(__xludf.DUMMYFUNCTION("""COMPUTED_VALUE"""),"")</f>
        <v/>
      </c>
      <c r="N137" t="str">
        <f ca="1">IFERROR(__xludf.DUMMYFUNCTION("""COMPUTED_VALUE"""),"")</f>
        <v/>
      </c>
      <c r="O137" t="str">
        <f ca="1">IFERROR(__xludf.DUMMYFUNCTION("""COMPUTED_VALUE"""),"")</f>
        <v/>
      </c>
      <c r="P137" t="str">
        <f ca="1">IFERROR(__xludf.DUMMYFUNCTION("""COMPUTED_VALUE"""),"")</f>
        <v/>
      </c>
      <c r="Q137" t="str">
        <f ca="1">IFERROR(__xludf.DUMMYFUNCTION("""COMPUTED_VALUE"""),"")</f>
        <v/>
      </c>
      <c r="R137" t="str">
        <f ca="1">IFERROR(__xludf.DUMMYFUNCTION("""COMPUTED_VALUE"""),"")</f>
        <v/>
      </c>
      <c r="S137" t="str">
        <f ca="1">IFERROR(__xludf.DUMMYFUNCTION("""COMPUTED_VALUE"""),"")</f>
        <v/>
      </c>
      <c r="T137" t="str">
        <f ca="1">IFERROR(__xludf.DUMMYFUNCTION("""COMPUTED_VALUE"""),"")</f>
        <v/>
      </c>
      <c r="U137" s="158">
        <f ca="1">IFERROR(__xludf.DUMMYFUNCTION("""COMPUTED_VALUE"""),0.535416666666666)</f>
        <v>0.53541666666666599</v>
      </c>
      <c r="V137" t="str">
        <f ca="1">IFERROR(__xludf.DUMMYFUNCTION("""COMPUTED_VALUE"""),"B")</f>
        <v>B</v>
      </c>
      <c r="W137" s="158">
        <f ca="1">IFERROR(__xludf.DUMMYFUNCTION("""COMPUTED_VALUE"""),0.573611111111111)</f>
        <v>0.57361111111111096</v>
      </c>
      <c r="X137" t="str">
        <f ca="1">IFERROR(__xludf.DUMMYFUNCTION("""COMPUTED_VALUE"""),"B")</f>
        <v>B</v>
      </c>
      <c r="Y137" t="str">
        <f ca="1">IFERROR(__xludf.DUMMYFUNCTION("""COMPUTED_VALUE"""),"SŠ")</f>
        <v>SŠ</v>
      </c>
      <c r="Z137" t="b">
        <f ca="1">IFERROR(__xludf.DUMMYFUNCTION("""COMPUTED_VALUE"""),TRUE)</f>
        <v>1</v>
      </c>
      <c r="AA137" t="b">
        <f ca="1">IFERROR(__xludf.DUMMYFUNCTION("""COMPUTED_VALUE"""),FALSE)</f>
        <v>0</v>
      </c>
      <c r="AB137" t="b">
        <f ca="1">IFERROR(__xludf.DUMMYFUNCTION("""COMPUTED_VALUE"""),FALSE)</f>
        <v>0</v>
      </c>
      <c r="AC137" t="b">
        <f ca="1">IFERROR(__xludf.DUMMYFUNCTION("""COMPUTED_VALUE"""),FALSE)</f>
        <v>0</v>
      </c>
      <c r="AD137" t="b">
        <f ca="1">IFERROR(__xludf.DUMMYFUNCTION("""COMPUTED_VALUE"""),TRUE)</f>
        <v>1</v>
      </c>
      <c r="AE137" t="b">
        <f ca="1">IFERROR(__xludf.DUMMYFUNCTION("""COMPUTED_VALUE"""),FALSE)</f>
        <v>0</v>
      </c>
      <c r="AF137" t="b">
        <f ca="1">IFERROR(__xludf.DUMMYFUNCTION("""COMPUTED_VALUE"""),FALSE)</f>
        <v>0</v>
      </c>
      <c r="AG137" t="str">
        <f ca="1">IFERROR(__xludf.DUMMYFUNCTION("""COMPUTED_VALUE"""),"Čára (line follower), Sprint - NeLEGOvý (drag race - Non Lego)")</f>
        <v>Čára (line follower), Sprint - NeLEGOvý (drag race - Non Lego)</v>
      </c>
    </row>
    <row r="138" spans="1:33" ht="13.2">
      <c r="A138">
        <f ca="1">IFERROR(__xludf.DUMMYFUNCTION("""COMPUTED_VALUE"""),144)</f>
        <v>144</v>
      </c>
      <c r="B138" t="str">
        <f ca="1">IFERROR(__xludf.DUMMYFUNCTION("""COMPUTED_VALUE"""),"Praha")</f>
        <v>Praha</v>
      </c>
      <c r="C138" t="str">
        <f ca="1">IFERROR(__xludf.DUMMYFUNCTION("""COMPUTED_VALUE"""),"SPŠ Prosek")</f>
        <v>SPŠ Prosek</v>
      </c>
      <c r="D138" t="str">
        <f ca="1">IFERROR(__xludf.DUMMYFUNCTION("""COMPUTED_VALUE"""),"Kulišáci")</f>
        <v>Kulišáci</v>
      </c>
      <c r="E138" t="str">
        <f ca="1">IFERROR(__xludf.DUMMYFUNCTION("""COMPUTED_VALUE"""),"---")</f>
        <v>---</v>
      </c>
      <c r="F138" t="str">
        <f ca="1">IFERROR(__xludf.DUMMYFUNCTION("""COMPUTED_VALUE"""),"")</f>
        <v/>
      </c>
      <c r="G138" t="str">
        <f ca="1">IFERROR(__xludf.DUMMYFUNCTION("""COMPUTED_VALUE"""),"---")</f>
        <v>---</v>
      </c>
      <c r="H138" t="str">
        <f ca="1">IFERROR(__xludf.DUMMYFUNCTION("""COMPUTED_VALUE"""),"")</f>
        <v/>
      </c>
      <c r="I138" t="str">
        <f ca="1">IFERROR(__xludf.DUMMYFUNCTION("""COMPUTED_VALUE"""),"---")</f>
        <v>---</v>
      </c>
      <c r="J138" t="str">
        <f ca="1">IFERROR(__xludf.DUMMYFUNCTION("""COMPUTED_VALUE"""),"")</f>
        <v/>
      </c>
      <c r="K138" t="str">
        <f ca="1">IFERROR(__xludf.DUMMYFUNCTION("""COMPUTED_VALUE"""),"")</f>
        <v/>
      </c>
      <c r="L138" t="str">
        <f ca="1">IFERROR(__xludf.DUMMYFUNCTION("""COMPUTED_VALUE"""),"")</f>
        <v/>
      </c>
      <c r="M138" t="str">
        <f ca="1">IFERROR(__xludf.DUMMYFUNCTION("""COMPUTED_VALUE"""),"")</f>
        <v/>
      </c>
      <c r="N138" t="str">
        <f ca="1">IFERROR(__xludf.DUMMYFUNCTION("""COMPUTED_VALUE"""),"")</f>
        <v/>
      </c>
      <c r="O138" s="158">
        <f ca="1">IFERROR(__xludf.DUMMYFUNCTION("""COMPUTED_VALUE"""),0.502777777777777)</f>
        <v>0.50277777777777699</v>
      </c>
      <c r="P138" t="str">
        <f ca="1">IFERROR(__xludf.DUMMYFUNCTION("""COMPUTED_VALUE"""),"A")</f>
        <v>A</v>
      </c>
      <c r="Q138" s="158">
        <f ca="1">IFERROR(__xludf.DUMMYFUNCTION("""COMPUTED_VALUE"""),0.523611111111111)</f>
        <v>0.52361111111111103</v>
      </c>
      <c r="R138" t="str">
        <f ca="1">IFERROR(__xludf.DUMMYFUNCTION("""COMPUTED_VALUE"""),"B")</f>
        <v>B</v>
      </c>
      <c r="S138" s="158">
        <f ca="1">IFERROR(__xludf.DUMMYFUNCTION("""COMPUTED_VALUE"""),0.561805555555555)</f>
        <v>0.561805555555555</v>
      </c>
      <c r="T138" t="str">
        <f ca="1">IFERROR(__xludf.DUMMYFUNCTION("""COMPUTED_VALUE"""),"B")</f>
        <v>B</v>
      </c>
      <c r="U138" s="158">
        <f ca="1">IFERROR(__xludf.DUMMYFUNCTION("""COMPUTED_VALUE"""),0.535416666666666)</f>
        <v>0.53541666666666599</v>
      </c>
      <c r="V138" t="str">
        <f ca="1">IFERROR(__xludf.DUMMYFUNCTION("""COMPUTED_VALUE"""),"B")</f>
        <v>B</v>
      </c>
      <c r="W138" s="158">
        <f ca="1">IFERROR(__xludf.DUMMYFUNCTION("""COMPUTED_VALUE"""),0.573611111111111)</f>
        <v>0.57361111111111096</v>
      </c>
      <c r="X138" t="str">
        <f ca="1">IFERROR(__xludf.DUMMYFUNCTION("""COMPUTED_VALUE"""),"B")</f>
        <v>B</v>
      </c>
      <c r="Y138" t="str">
        <f ca="1">IFERROR(__xludf.DUMMYFUNCTION("""COMPUTED_VALUE"""),"SŠ")</f>
        <v>SŠ</v>
      </c>
      <c r="Z138" s="158" t="b">
        <f ca="1">IFERROR(__xludf.DUMMYFUNCTION("""COMPUTED_VALUE"""),FALSE)</f>
        <v>0</v>
      </c>
      <c r="AA138" t="b">
        <f ca="1">IFERROR(__xludf.DUMMYFUNCTION("""COMPUTED_VALUE"""),FALSE)</f>
        <v>0</v>
      </c>
      <c r="AB138" t="b">
        <f ca="1">IFERROR(__xludf.DUMMYFUNCTION("""COMPUTED_VALUE"""),TRUE)</f>
        <v>1</v>
      </c>
      <c r="AC138" t="b">
        <f ca="1">IFERROR(__xludf.DUMMYFUNCTION("""COMPUTED_VALUE"""),TRUE)</f>
        <v>1</v>
      </c>
      <c r="AD138" t="b">
        <f ca="1">IFERROR(__xludf.DUMMYFUNCTION("""COMPUTED_VALUE"""),FALSE)</f>
        <v>0</v>
      </c>
      <c r="AE138" t="b">
        <f ca="1">IFERROR(__xludf.DUMMYFUNCTION("""COMPUTED_VALUE"""),FALSE)</f>
        <v>0</v>
      </c>
      <c r="AF138" t="b">
        <f ca="1">IFERROR(__xludf.DUMMYFUNCTION("""COMPUTED_VALUE"""),FALSE)</f>
        <v>0</v>
      </c>
      <c r="AG138" t="str">
        <f ca="1">IFERROR(__xludf.DUMMYFUNCTION("""COMPUTED_VALUE"""),"Dálkový medvěd (bear rescue), Sprint - LEGO (drag race - Lego)")</f>
        <v>Dálkový medvěd (bear rescue), Sprint - LEGO (drag race - Lego)</v>
      </c>
    </row>
    <row r="139" spans="1:33" ht="13.2">
      <c r="A139">
        <f ca="1">IFERROR(__xludf.DUMMYFUNCTION("""COMPUTED_VALUE"""),145)</f>
        <v>145</v>
      </c>
      <c r="B139" t="str">
        <f ca="1">IFERROR(__xludf.DUMMYFUNCTION("""COMPUTED_VALUE"""),"Rakovník")</f>
        <v>Rakovník</v>
      </c>
      <c r="C139" t="str">
        <f ca="1">IFERROR(__xludf.DUMMYFUNCTION("""COMPUTED_VALUE"""),"SPŠ Rakovník Emila Kolbena")</f>
        <v>SPŠ Rakovník Emila Kolbena</v>
      </c>
      <c r="D139" t="str">
        <f ca="1">IFERROR(__xludf.DUMMYFUNCTION("""COMPUTED_VALUE"""),"Yeeters")</f>
        <v>Yeeters</v>
      </c>
      <c r="E139" s="158">
        <f ca="1">IFERROR(__xludf.DUMMYFUNCTION("""COMPUTED_VALUE"""),0.446527777777777)</f>
        <v>0.44652777777777702</v>
      </c>
      <c r="F139" t="str">
        <f ca="1">IFERROR(__xludf.DUMMYFUNCTION("""COMPUTED_VALUE"""),"A")</f>
        <v>A</v>
      </c>
      <c r="G139" s="158">
        <f ca="1">IFERROR(__xludf.DUMMYFUNCTION("""COMPUTED_VALUE"""),0.516666666666666)</f>
        <v>0.51666666666666605</v>
      </c>
      <c r="H139" t="str">
        <f ca="1">IFERROR(__xludf.DUMMYFUNCTION("""COMPUTED_VALUE"""),"A")</f>
        <v>A</v>
      </c>
      <c r="I139" s="158">
        <f ca="1">IFERROR(__xludf.DUMMYFUNCTION("""COMPUTED_VALUE"""),0.591666666666666)</f>
        <v>0.59166666666666601</v>
      </c>
      <c r="J139" t="str">
        <f ca="1">IFERROR(__xludf.DUMMYFUNCTION("""COMPUTED_VALUE"""),"A")</f>
        <v>A</v>
      </c>
      <c r="K139" t="str">
        <f ca="1">IFERROR(__xludf.DUMMYFUNCTION("""COMPUTED_VALUE"""),"")</f>
        <v/>
      </c>
      <c r="L139" t="str">
        <f ca="1">IFERROR(__xludf.DUMMYFUNCTION("""COMPUTED_VALUE"""),"")</f>
        <v/>
      </c>
      <c r="M139" t="str">
        <f ca="1">IFERROR(__xludf.DUMMYFUNCTION("""COMPUTED_VALUE"""),"")</f>
        <v/>
      </c>
      <c r="N139" t="str">
        <f ca="1">IFERROR(__xludf.DUMMYFUNCTION("""COMPUTED_VALUE"""),"")</f>
        <v/>
      </c>
      <c r="O139" s="158">
        <f ca="1">IFERROR(__xludf.DUMMYFUNCTION("""COMPUTED_VALUE"""),0.502777777777777)</f>
        <v>0.50277777777777699</v>
      </c>
      <c r="P139" t="str">
        <f ca="1">IFERROR(__xludf.DUMMYFUNCTION("""COMPUTED_VALUE"""),"B")</f>
        <v>B</v>
      </c>
      <c r="Q139" s="158">
        <f ca="1">IFERROR(__xludf.DUMMYFUNCTION("""COMPUTED_VALUE"""),0.524305555555555)</f>
        <v>0.52430555555555503</v>
      </c>
      <c r="R139" t="str">
        <f ca="1">IFERROR(__xludf.DUMMYFUNCTION("""COMPUTED_VALUE"""),"A")</f>
        <v>A</v>
      </c>
      <c r="S139" s="158">
        <f ca="1">IFERROR(__xludf.DUMMYFUNCTION("""COMPUTED_VALUE"""),0.5625)</f>
        <v>0.5625</v>
      </c>
      <c r="T139" t="str">
        <f ca="1">IFERROR(__xludf.DUMMYFUNCTION("""COMPUTED_VALUE"""),"A")</f>
        <v>A</v>
      </c>
      <c r="U139" t="str">
        <f ca="1">IFERROR(__xludf.DUMMYFUNCTION("""COMPUTED_VALUE"""),"")</f>
        <v/>
      </c>
      <c r="V139" t="str">
        <f ca="1">IFERROR(__xludf.DUMMYFUNCTION("""COMPUTED_VALUE"""),"")</f>
        <v/>
      </c>
      <c r="W139" t="str">
        <f ca="1">IFERROR(__xludf.DUMMYFUNCTION("""COMPUTED_VALUE"""),"")</f>
        <v/>
      </c>
      <c r="X139" t="str">
        <f ca="1">IFERROR(__xludf.DUMMYFUNCTION("""COMPUTED_VALUE"""),"")</f>
        <v/>
      </c>
      <c r="Y139" t="str">
        <f ca="1">IFERROR(__xludf.DUMMYFUNCTION("""COMPUTED_VALUE"""),"SŠ")</f>
        <v>SŠ</v>
      </c>
      <c r="Z139" t="b">
        <f ca="1">IFERROR(__xludf.DUMMYFUNCTION("""COMPUTED_VALUE"""),TRUE)</f>
        <v>1</v>
      </c>
      <c r="AA139" t="b">
        <f ca="1">IFERROR(__xludf.DUMMYFUNCTION("""COMPUTED_VALUE"""),FALSE)</f>
        <v>0</v>
      </c>
      <c r="AB139" t="b">
        <f ca="1">IFERROR(__xludf.DUMMYFUNCTION("""COMPUTED_VALUE"""),TRUE)</f>
        <v>1</v>
      </c>
      <c r="AC139" t="b">
        <f ca="1">IFERROR(__xludf.DUMMYFUNCTION("""COMPUTED_VALUE"""),TRUE)</f>
        <v>1</v>
      </c>
      <c r="AD139" t="b">
        <f ca="1">IFERROR(__xludf.DUMMYFUNCTION("""COMPUTED_VALUE"""),FALSE)</f>
        <v>0</v>
      </c>
      <c r="AE139" t="b">
        <f ca="1">IFERROR(__xludf.DUMMYFUNCTION("""COMPUTED_VALUE"""),FALSE)</f>
        <v>0</v>
      </c>
      <c r="AF139" t="b">
        <f ca="1">IFERROR(__xludf.DUMMYFUNCTION("""COMPUTED_VALUE"""),FALSE)</f>
        <v>0</v>
      </c>
      <c r="AG139" t="str">
        <f ca="1">IFERROR(__xludf.DUMMYFUNCTION("""COMPUTED_VALUE"""),"Čára (line follower), Dálkový medvěd (bear rescue), Sprint - LEGO (drag race - Lego)")</f>
        <v>Čára (line follower), Dálkový medvěd (bear rescue), Sprint - LEGO (drag race - Lego)</v>
      </c>
    </row>
    <row r="140" spans="1:33" ht="13.2">
      <c r="A140">
        <f ca="1">IFERROR(__xludf.DUMMYFUNCTION("""COMPUTED_VALUE"""),146)</f>
        <v>146</v>
      </c>
      <c r="B140" t="str">
        <f ca="1">IFERROR(__xludf.DUMMYFUNCTION("""COMPUTED_VALUE"""),"Frýdek-Místek")</f>
        <v>Frýdek-Místek</v>
      </c>
      <c r="C140" t="str">
        <f ca="1">IFERROR(__xludf.DUMMYFUNCTION("""COMPUTED_VALUE"""),"SPŠ, OA a JŠ Frýdek-Místek")</f>
        <v>SPŠ, OA a JŠ Frýdek-Místek</v>
      </c>
      <c r="D140" t="str">
        <f ca="1">IFERROR(__xludf.DUMMYFUNCTION("""COMPUTED_VALUE"""),"Starhunters")</f>
        <v>Starhunters</v>
      </c>
      <c r="E140" t="str">
        <f ca="1">IFERROR(__xludf.DUMMYFUNCTION("""COMPUTED_VALUE"""),"---")</f>
        <v>---</v>
      </c>
      <c r="F140" t="str">
        <f ca="1">IFERROR(__xludf.DUMMYFUNCTION("""COMPUTED_VALUE"""),"")</f>
        <v/>
      </c>
      <c r="G140" t="str">
        <f ca="1">IFERROR(__xludf.DUMMYFUNCTION("""COMPUTED_VALUE"""),"---")</f>
        <v>---</v>
      </c>
      <c r="H140" t="str">
        <f ca="1">IFERROR(__xludf.DUMMYFUNCTION("""COMPUTED_VALUE"""),"")</f>
        <v/>
      </c>
      <c r="I140" t="str">
        <f ca="1">IFERROR(__xludf.DUMMYFUNCTION("""COMPUTED_VALUE"""),"---")</f>
        <v>---</v>
      </c>
      <c r="J140" t="str">
        <f ca="1">IFERROR(__xludf.DUMMYFUNCTION("""COMPUTED_VALUE"""),"")</f>
        <v/>
      </c>
      <c r="K140" t="str">
        <f ca="1">IFERROR(__xludf.DUMMYFUNCTION("""COMPUTED_VALUE"""),"")</f>
        <v/>
      </c>
      <c r="L140" t="str">
        <f ca="1">IFERROR(__xludf.DUMMYFUNCTION("""COMPUTED_VALUE"""),"")</f>
        <v/>
      </c>
      <c r="M140" t="str">
        <f ca="1">IFERROR(__xludf.DUMMYFUNCTION("""COMPUTED_VALUE"""),"")</f>
        <v/>
      </c>
      <c r="N140" t="str">
        <f ca="1">IFERROR(__xludf.DUMMYFUNCTION("""COMPUTED_VALUE"""),"")</f>
        <v/>
      </c>
      <c r="O140" s="158">
        <f ca="1">IFERROR(__xludf.DUMMYFUNCTION("""COMPUTED_VALUE"""),0.504166666666666)</f>
        <v>0.50416666666666599</v>
      </c>
      <c r="P140" t="str">
        <f ca="1">IFERROR(__xludf.DUMMYFUNCTION("""COMPUTED_VALUE"""),"A")</f>
        <v>A</v>
      </c>
      <c r="Q140" t="str">
        <f ca="1">IFERROR(__xludf.DUMMYFUNCTION("""COMPUTED_VALUE"""),"")</f>
        <v/>
      </c>
      <c r="R140" t="str">
        <f ca="1">IFERROR(__xludf.DUMMYFUNCTION("""COMPUTED_VALUE"""),"")</f>
        <v/>
      </c>
      <c r="S140" t="str">
        <f ca="1">IFERROR(__xludf.DUMMYFUNCTION("""COMPUTED_VALUE"""),"")</f>
        <v/>
      </c>
      <c r="T140" t="str">
        <f ca="1">IFERROR(__xludf.DUMMYFUNCTION("""COMPUTED_VALUE"""),"")</f>
        <v/>
      </c>
      <c r="U140" t="str">
        <f ca="1">IFERROR(__xludf.DUMMYFUNCTION("""COMPUTED_VALUE"""),"")</f>
        <v/>
      </c>
      <c r="V140" t="str">
        <f ca="1">IFERROR(__xludf.DUMMYFUNCTION("""COMPUTED_VALUE"""),"")</f>
        <v/>
      </c>
      <c r="W140" t="str">
        <f ca="1">IFERROR(__xludf.DUMMYFUNCTION("""COMPUTED_VALUE"""),"")</f>
        <v/>
      </c>
      <c r="X140" t="str">
        <f ca="1">IFERROR(__xludf.DUMMYFUNCTION("""COMPUTED_VALUE"""),"")</f>
        <v/>
      </c>
      <c r="Y140" t="str">
        <f ca="1">IFERROR(__xludf.DUMMYFUNCTION("""COMPUTED_VALUE"""),"ZŠ")</f>
        <v>ZŠ</v>
      </c>
      <c r="Z140" s="158" t="b">
        <f ca="1">IFERROR(__xludf.DUMMYFUNCTION("""COMPUTED_VALUE"""),FALSE)</f>
        <v>0</v>
      </c>
      <c r="AA140" t="b">
        <f ca="1">IFERROR(__xludf.DUMMYFUNCTION("""COMPUTED_VALUE"""),FALSE)</f>
        <v>0</v>
      </c>
      <c r="AB140" t="b">
        <f ca="1">IFERROR(__xludf.DUMMYFUNCTION("""COMPUTED_VALUE"""),TRUE)</f>
        <v>1</v>
      </c>
      <c r="AC140" t="b">
        <f ca="1">IFERROR(__xludf.DUMMYFUNCTION("""COMPUTED_VALUE"""),FALSE)</f>
        <v>0</v>
      </c>
      <c r="AD140" t="b">
        <f ca="1">IFERROR(__xludf.DUMMYFUNCTION("""COMPUTED_VALUE"""),FALSE)</f>
        <v>0</v>
      </c>
      <c r="AE140" t="b">
        <f ca="1">IFERROR(__xludf.DUMMYFUNCTION("""COMPUTED_VALUE"""),FALSE)</f>
        <v>0</v>
      </c>
      <c r="AF140" t="b">
        <f ca="1">IFERROR(__xludf.DUMMYFUNCTION("""COMPUTED_VALUE"""),FALSE)</f>
        <v>0</v>
      </c>
      <c r="AG140" t="str">
        <f ca="1">IFERROR(__xludf.DUMMYFUNCTION("""COMPUTED_VALUE"""),"Dálkový medvěd (bear rescue)")</f>
        <v>Dálkový medvěd (bear rescue)</v>
      </c>
    </row>
    <row r="141" spans="1:33" ht="13.2">
      <c r="A141">
        <f ca="1">IFERROR(__xludf.DUMMYFUNCTION("""COMPUTED_VALUE"""),147)</f>
        <v>147</v>
      </c>
      <c r="B141" t="str">
        <f ca="1">IFERROR(__xludf.DUMMYFUNCTION("""COMPUTED_VALUE"""),"Tišnov")</f>
        <v>Tišnov</v>
      </c>
      <c r="C141" t="str">
        <f ca="1">IFERROR(__xludf.DUMMYFUNCTION("""COMPUTED_VALUE"""),"SVČ INSPIRO Tišnov")</f>
        <v>SVČ INSPIRO Tišnov</v>
      </c>
      <c r="D141" t="str">
        <f ca="1">IFERROR(__xludf.DUMMYFUNCTION("""COMPUTED_VALUE"""),"StormBots")</f>
        <v>StormBots</v>
      </c>
      <c r="E141" s="158">
        <f ca="1">IFERROR(__xludf.DUMMYFUNCTION("""COMPUTED_VALUE"""),0.449305555555555)</f>
        <v>0.44930555555555501</v>
      </c>
      <c r="F141" t="str">
        <f ca="1">IFERROR(__xludf.DUMMYFUNCTION("""COMPUTED_VALUE"""),"B")</f>
        <v>B</v>
      </c>
      <c r="G141" s="158">
        <f ca="1">IFERROR(__xludf.DUMMYFUNCTION("""COMPUTED_VALUE"""),0.519444444444444)</f>
        <v>0.51944444444444404</v>
      </c>
      <c r="H141" t="str">
        <f ca="1">IFERROR(__xludf.DUMMYFUNCTION("""COMPUTED_VALUE"""),"B")</f>
        <v>B</v>
      </c>
      <c r="I141" s="158">
        <f ca="1">IFERROR(__xludf.DUMMYFUNCTION("""COMPUTED_VALUE"""),0.594444444444444)</f>
        <v>0.594444444444444</v>
      </c>
      <c r="J141" t="str">
        <f ca="1">IFERROR(__xludf.DUMMYFUNCTION("""COMPUTED_VALUE"""),"B")</f>
        <v>B</v>
      </c>
      <c r="K141" t="str">
        <f ca="1">IFERROR(__xludf.DUMMYFUNCTION("""COMPUTED_VALUE"""),"")</f>
        <v/>
      </c>
      <c r="L141" t="str">
        <f ca="1">IFERROR(__xludf.DUMMYFUNCTION("""COMPUTED_VALUE"""),"")</f>
        <v/>
      </c>
      <c r="M141" t="str">
        <f ca="1">IFERROR(__xludf.DUMMYFUNCTION("""COMPUTED_VALUE"""),"")</f>
        <v/>
      </c>
      <c r="N141" t="str">
        <f ca="1">IFERROR(__xludf.DUMMYFUNCTION("""COMPUTED_VALUE"""),"")</f>
        <v/>
      </c>
      <c r="O141" t="str">
        <f ca="1">IFERROR(__xludf.DUMMYFUNCTION("""COMPUTED_VALUE"""),"")</f>
        <v/>
      </c>
      <c r="P141" t="str">
        <f ca="1">IFERROR(__xludf.DUMMYFUNCTION("""COMPUTED_VALUE"""),"")</f>
        <v/>
      </c>
      <c r="Q141" t="str">
        <f ca="1">IFERROR(__xludf.DUMMYFUNCTION("""COMPUTED_VALUE"""),"")</f>
        <v/>
      </c>
      <c r="R141" t="str">
        <f ca="1">IFERROR(__xludf.DUMMYFUNCTION("""COMPUTED_VALUE"""),"")</f>
        <v/>
      </c>
      <c r="S141" t="str">
        <f ca="1">IFERROR(__xludf.DUMMYFUNCTION("""COMPUTED_VALUE"""),"")</f>
        <v/>
      </c>
      <c r="T141" t="str">
        <f ca="1">IFERROR(__xludf.DUMMYFUNCTION("""COMPUTED_VALUE"""),"")</f>
        <v/>
      </c>
      <c r="U141" t="str">
        <f ca="1">IFERROR(__xludf.DUMMYFUNCTION("""COMPUTED_VALUE"""),"")</f>
        <v/>
      </c>
      <c r="V141" t="str">
        <f ca="1">IFERROR(__xludf.DUMMYFUNCTION("""COMPUTED_VALUE"""),"")</f>
        <v/>
      </c>
      <c r="W141" t="str">
        <f ca="1">IFERROR(__xludf.DUMMYFUNCTION("""COMPUTED_VALUE"""),"")</f>
        <v/>
      </c>
      <c r="X141" t="str">
        <f ca="1">IFERROR(__xludf.DUMMYFUNCTION("""COMPUTED_VALUE"""),"")</f>
        <v/>
      </c>
      <c r="Y141" t="str">
        <f ca="1">IFERROR(__xludf.DUMMYFUNCTION("""COMPUTED_VALUE"""),"ZŠ")</f>
        <v>ZŠ</v>
      </c>
      <c r="Z141" t="b">
        <f ca="1">IFERROR(__xludf.DUMMYFUNCTION("""COMPUTED_VALUE"""),TRUE)</f>
        <v>1</v>
      </c>
      <c r="AA141" t="b">
        <f ca="1">IFERROR(__xludf.DUMMYFUNCTION("""COMPUTED_VALUE"""),FALSE)</f>
        <v>0</v>
      </c>
      <c r="AB141" t="b">
        <f ca="1">IFERROR(__xludf.DUMMYFUNCTION("""COMPUTED_VALUE"""),FALSE)</f>
        <v>0</v>
      </c>
      <c r="AC141" t="b">
        <f ca="1">IFERROR(__xludf.DUMMYFUNCTION("""COMPUTED_VALUE"""),FALSE)</f>
        <v>0</v>
      </c>
      <c r="AD141" t="b">
        <f ca="1">IFERROR(__xludf.DUMMYFUNCTION("""COMPUTED_VALUE"""),FALSE)</f>
        <v>0</v>
      </c>
      <c r="AE141" t="b">
        <f ca="1">IFERROR(__xludf.DUMMYFUNCTION("""COMPUTED_VALUE"""),FALSE)</f>
        <v>0</v>
      </c>
      <c r="AF141" t="b">
        <f ca="1">IFERROR(__xludf.DUMMYFUNCTION("""COMPUTED_VALUE"""),FALSE)</f>
        <v>0</v>
      </c>
      <c r="AG141" t="str">
        <f ca="1">IFERROR(__xludf.DUMMYFUNCTION("""COMPUTED_VALUE"""),"Čára (line follower)")</f>
        <v>Čára (line follower)</v>
      </c>
    </row>
    <row r="142" spans="1:33" ht="13.2">
      <c r="A142">
        <f ca="1">IFERROR(__xludf.DUMMYFUNCTION("""COMPUTED_VALUE"""),148)</f>
        <v>148</v>
      </c>
      <c r="B142" t="str">
        <f ca="1">IFERROR(__xludf.DUMMYFUNCTION("""COMPUTED_VALUE"""),"Plzeň")</f>
        <v>Plzeň</v>
      </c>
      <c r="C142" t="str">
        <f ca="1">IFERROR(__xludf.DUMMYFUNCTION("""COMPUTED_VALUE"""),"SVČ RADOVÁNEK Plzeň")</f>
        <v>SVČ RADOVÁNEK Plzeň</v>
      </c>
      <c r="D142" t="str">
        <f ca="1">IFERROR(__xludf.DUMMYFUNCTION("""COMPUTED_VALUE"""),"Radovánek Plzeň")</f>
        <v>Radovánek Plzeň</v>
      </c>
      <c r="E142" t="str">
        <f ca="1">IFERROR(__xludf.DUMMYFUNCTION("""COMPUTED_VALUE"""),"---")</f>
        <v>---</v>
      </c>
      <c r="F142" t="str">
        <f ca="1">IFERROR(__xludf.DUMMYFUNCTION("""COMPUTED_VALUE"""),"")</f>
        <v/>
      </c>
      <c r="G142" t="str">
        <f ca="1">IFERROR(__xludf.DUMMYFUNCTION("""COMPUTED_VALUE"""),"---")</f>
        <v>---</v>
      </c>
      <c r="H142" t="str">
        <f ca="1">IFERROR(__xludf.DUMMYFUNCTION("""COMPUTED_VALUE"""),"")</f>
        <v/>
      </c>
      <c r="I142" t="str">
        <f ca="1">IFERROR(__xludf.DUMMYFUNCTION("""COMPUTED_VALUE"""),"---")</f>
        <v>---</v>
      </c>
      <c r="J142" t="str">
        <f ca="1">IFERROR(__xludf.DUMMYFUNCTION("""COMPUTED_VALUE"""),"")</f>
        <v/>
      </c>
      <c r="K142" t="str">
        <f ca="1">IFERROR(__xludf.DUMMYFUNCTION("""COMPUTED_VALUE"""),"")</f>
        <v/>
      </c>
      <c r="L142" t="str">
        <f ca="1">IFERROR(__xludf.DUMMYFUNCTION("""COMPUTED_VALUE"""),"")</f>
        <v/>
      </c>
      <c r="M142" t="str">
        <f ca="1">IFERROR(__xludf.DUMMYFUNCTION("""COMPUTED_VALUE"""),"")</f>
        <v/>
      </c>
      <c r="N142" t="str">
        <f ca="1">IFERROR(__xludf.DUMMYFUNCTION("""COMPUTED_VALUE"""),"")</f>
        <v/>
      </c>
      <c r="O142" t="str">
        <f ca="1">IFERROR(__xludf.DUMMYFUNCTION("""COMPUTED_VALUE"""),"")</f>
        <v/>
      </c>
      <c r="P142" t="str">
        <f ca="1">IFERROR(__xludf.DUMMYFUNCTION("""COMPUTED_VALUE"""),"")</f>
        <v/>
      </c>
      <c r="Q142" s="158">
        <f ca="1">IFERROR(__xludf.DUMMYFUNCTION("""COMPUTED_VALUE"""),0.524305555555555)</f>
        <v>0.52430555555555503</v>
      </c>
      <c r="R142" t="str">
        <f ca="1">IFERROR(__xludf.DUMMYFUNCTION("""COMPUTED_VALUE"""),"B")</f>
        <v>B</v>
      </c>
      <c r="S142" s="158">
        <f ca="1">IFERROR(__xludf.DUMMYFUNCTION("""COMPUTED_VALUE"""),0.5625)</f>
        <v>0.5625</v>
      </c>
      <c r="T142" t="str">
        <f ca="1">IFERROR(__xludf.DUMMYFUNCTION("""COMPUTED_VALUE"""),"B")</f>
        <v>B</v>
      </c>
      <c r="U142" t="str">
        <f ca="1">IFERROR(__xludf.DUMMYFUNCTION("""COMPUTED_VALUE"""),"")</f>
        <v/>
      </c>
      <c r="V142" t="str">
        <f ca="1">IFERROR(__xludf.DUMMYFUNCTION("""COMPUTED_VALUE"""),"")</f>
        <v/>
      </c>
      <c r="W142" t="str">
        <f ca="1">IFERROR(__xludf.DUMMYFUNCTION("""COMPUTED_VALUE"""),"")</f>
        <v/>
      </c>
      <c r="X142" t="str">
        <f ca="1">IFERROR(__xludf.DUMMYFUNCTION("""COMPUTED_VALUE"""),"")</f>
        <v/>
      </c>
      <c r="Y142" t="str">
        <f ca="1">IFERROR(__xludf.DUMMYFUNCTION("""COMPUTED_VALUE"""),"ZŠ")</f>
        <v>ZŠ</v>
      </c>
      <c r="Z142" s="158" t="b">
        <f ca="1">IFERROR(__xludf.DUMMYFUNCTION("""COMPUTED_VALUE"""),FALSE)</f>
        <v>0</v>
      </c>
      <c r="AA142" t="b">
        <f ca="1">IFERROR(__xludf.DUMMYFUNCTION("""COMPUTED_VALUE"""),FALSE)</f>
        <v>0</v>
      </c>
      <c r="AB142" t="b">
        <f ca="1">IFERROR(__xludf.DUMMYFUNCTION("""COMPUTED_VALUE"""),FALSE)</f>
        <v>0</v>
      </c>
      <c r="AC142" t="b">
        <f ca="1">IFERROR(__xludf.DUMMYFUNCTION("""COMPUTED_VALUE"""),TRUE)</f>
        <v>1</v>
      </c>
      <c r="AD142" t="b">
        <f ca="1">IFERROR(__xludf.DUMMYFUNCTION("""COMPUTED_VALUE"""),FALSE)</f>
        <v>0</v>
      </c>
      <c r="AE142" t="b">
        <f ca="1">IFERROR(__xludf.DUMMYFUNCTION("""COMPUTED_VALUE"""),FALSE)</f>
        <v>0</v>
      </c>
      <c r="AF142" t="b">
        <f ca="1">IFERROR(__xludf.DUMMYFUNCTION("""COMPUTED_VALUE"""),FALSE)</f>
        <v>0</v>
      </c>
      <c r="AG142" t="str">
        <f ca="1">IFERROR(__xludf.DUMMYFUNCTION("""COMPUTED_VALUE"""),"Sprint - LEGO (drag race - Lego)")</f>
        <v>Sprint - LEGO (drag race - Lego)</v>
      </c>
    </row>
    <row r="143" spans="1:33" ht="13.2">
      <c r="A143">
        <f ca="1">IFERROR(__xludf.DUMMYFUNCTION("""COMPUTED_VALUE"""),149)</f>
        <v>149</v>
      </c>
      <c r="B143" t="str">
        <f ca="1">IFERROR(__xludf.DUMMYFUNCTION("""COMPUTED_VALUE"""),"Albrechtice nad Orlicí")</f>
        <v>Albrechtice nad Orlicí</v>
      </c>
      <c r="C143" t="str">
        <f ca="1">IFERROR(__xludf.DUMMYFUNCTION("""COMPUTED_VALUE"""),"Technologický klub Albrechtice n/Orlicí")</f>
        <v>Technologický klub Albrechtice n/Orlicí</v>
      </c>
      <c r="D143" t="str">
        <f ca="1">IFERROR(__xludf.DUMMYFUNCTION("""COMPUTED_VALUE"""),"TÉKÁČKO")</f>
        <v>TÉKÁČKO</v>
      </c>
      <c r="E143" s="158">
        <f ca="1">IFERROR(__xludf.DUMMYFUNCTION("""COMPUTED_VALUE"""),0.447916666666666)</f>
        <v>0.44791666666666602</v>
      </c>
      <c r="F143" t="str">
        <f ca="1">IFERROR(__xludf.DUMMYFUNCTION("""COMPUTED_VALUE"""),"A")</f>
        <v>A</v>
      </c>
      <c r="G143" s="158">
        <f ca="1">IFERROR(__xludf.DUMMYFUNCTION("""COMPUTED_VALUE"""),0.518055555555555)</f>
        <v>0.51805555555555505</v>
      </c>
      <c r="H143" t="str">
        <f ca="1">IFERROR(__xludf.DUMMYFUNCTION("""COMPUTED_VALUE"""),"A")</f>
        <v>A</v>
      </c>
      <c r="I143" s="158">
        <f ca="1">IFERROR(__xludf.DUMMYFUNCTION("""COMPUTED_VALUE"""),0.593055555555555)</f>
        <v>0.593055555555555</v>
      </c>
      <c r="J143" t="str">
        <f ca="1">IFERROR(__xludf.DUMMYFUNCTION("""COMPUTED_VALUE"""),"A")</f>
        <v>A</v>
      </c>
      <c r="K143" t="str">
        <f ca="1">IFERROR(__xludf.DUMMYFUNCTION("""COMPUTED_VALUE"""),"")</f>
        <v/>
      </c>
      <c r="L143" t="str">
        <f ca="1">IFERROR(__xludf.DUMMYFUNCTION("""COMPUTED_VALUE"""),"")</f>
        <v/>
      </c>
      <c r="M143" t="str">
        <f ca="1">IFERROR(__xludf.DUMMYFUNCTION("""COMPUTED_VALUE"""),"")</f>
        <v/>
      </c>
      <c r="N143" t="str">
        <f ca="1">IFERROR(__xludf.DUMMYFUNCTION("""COMPUTED_VALUE"""),"")</f>
        <v/>
      </c>
      <c r="O143" s="158">
        <f ca="1">IFERROR(__xludf.DUMMYFUNCTION("""COMPUTED_VALUE"""),0.504166666666666)</f>
        <v>0.50416666666666599</v>
      </c>
      <c r="P143" t="str">
        <f ca="1">IFERROR(__xludf.DUMMYFUNCTION("""COMPUTED_VALUE"""),"B")</f>
        <v>B</v>
      </c>
      <c r="Q143" s="158">
        <f ca="1">IFERROR(__xludf.DUMMYFUNCTION("""COMPUTED_VALUE"""),0.525)</f>
        <v>0.52500000000000002</v>
      </c>
      <c r="R143" t="str">
        <f ca="1">IFERROR(__xludf.DUMMYFUNCTION("""COMPUTED_VALUE"""),"A")</f>
        <v>A</v>
      </c>
      <c r="S143" s="158">
        <f ca="1">IFERROR(__xludf.DUMMYFUNCTION("""COMPUTED_VALUE"""),0.563194444444444)</f>
        <v>0.563194444444444</v>
      </c>
      <c r="T143" t="str">
        <f ca="1">IFERROR(__xludf.DUMMYFUNCTION("""COMPUTED_VALUE"""),"B")</f>
        <v>B</v>
      </c>
      <c r="U143" t="str">
        <f ca="1">IFERROR(__xludf.DUMMYFUNCTION("""COMPUTED_VALUE"""),"")</f>
        <v/>
      </c>
      <c r="V143" t="str">
        <f ca="1">IFERROR(__xludf.DUMMYFUNCTION("""COMPUTED_VALUE"""),"")</f>
        <v/>
      </c>
      <c r="W143" t="str">
        <f ca="1">IFERROR(__xludf.DUMMYFUNCTION("""COMPUTED_VALUE"""),"")</f>
        <v/>
      </c>
      <c r="X143" t="str">
        <f ca="1">IFERROR(__xludf.DUMMYFUNCTION("""COMPUTED_VALUE"""),"")</f>
        <v/>
      </c>
      <c r="Y143" t="str">
        <f ca="1">IFERROR(__xludf.DUMMYFUNCTION("""COMPUTED_VALUE"""),"ZŠ")</f>
        <v>ZŠ</v>
      </c>
      <c r="Z143" t="b">
        <f ca="1">IFERROR(__xludf.DUMMYFUNCTION("""COMPUTED_VALUE"""),TRUE)</f>
        <v>1</v>
      </c>
      <c r="AA143" t="b">
        <f ca="1">IFERROR(__xludf.DUMMYFUNCTION("""COMPUTED_VALUE"""),FALSE)</f>
        <v>0</v>
      </c>
      <c r="AB143" t="b">
        <f ca="1">IFERROR(__xludf.DUMMYFUNCTION("""COMPUTED_VALUE"""),TRUE)</f>
        <v>1</v>
      </c>
      <c r="AC143" t="b">
        <f ca="1">IFERROR(__xludf.DUMMYFUNCTION("""COMPUTED_VALUE"""),TRUE)</f>
        <v>1</v>
      </c>
      <c r="AD143" t="b">
        <f ca="1">IFERROR(__xludf.DUMMYFUNCTION("""COMPUTED_VALUE"""),FALSE)</f>
        <v>0</v>
      </c>
      <c r="AE143" t="b">
        <f ca="1">IFERROR(__xludf.DUMMYFUNCTION("""COMPUTED_VALUE"""),FALSE)</f>
        <v>0</v>
      </c>
      <c r="AF143" t="b">
        <f ca="1">IFERROR(__xludf.DUMMYFUNCTION("""COMPUTED_VALUE"""),FALSE)</f>
        <v>0</v>
      </c>
      <c r="AG143" t="str">
        <f ca="1">IFERROR(__xludf.DUMMYFUNCTION("""COMPUTED_VALUE"""),"Čára (line follower), Dálkový medvěd (bear rescue), Sprint - LEGO (drag race - Lego)")</f>
        <v>Čára (line follower), Dálkový medvěd (bear rescue), Sprint - LEGO (drag race - Lego)</v>
      </c>
    </row>
    <row r="144" spans="1:33" ht="13.2">
      <c r="A144">
        <f ca="1">IFERROR(__xludf.DUMMYFUNCTION("""COMPUTED_VALUE"""),150)</f>
        <v>150</v>
      </c>
      <c r="B144" t="str">
        <f ca="1">IFERROR(__xludf.DUMMYFUNCTION("""COMPUTED_VALUE"""),"Sezimovo Ústí")</f>
        <v>Sezimovo Ústí</v>
      </c>
      <c r="C144" t="str">
        <f ca="1">IFERROR(__xludf.DUMMYFUNCTION("""COMPUTED_VALUE"""),"VOŠ, SŠ, COP Sezimovo Ústí")</f>
        <v>VOŠ, SŠ, COP Sezimovo Ústí</v>
      </c>
      <c r="D144" t="str">
        <f ca="1">IFERROR(__xludf.DUMMYFUNCTION("""COMPUTED_VALUE"""),"Gearshift")</f>
        <v>Gearshift</v>
      </c>
      <c r="E144" t="str">
        <f ca="1">IFERROR(__xludf.DUMMYFUNCTION("""COMPUTED_VALUE"""),"---")</f>
        <v>---</v>
      </c>
      <c r="F144" t="str">
        <f ca="1">IFERROR(__xludf.DUMMYFUNCTION("""COMPUTED_VALUE"""),"")</f>
        <v/>
      </c>
      <c r="G144" t="str">
        <f ca="1">IFERROR(__xludf.DUMMYFUNCTION("""COMPUTED_VALUE"""),"---")</f>
        <v>---</v>
      </c>
      <c r="H144" t="str">
        <f ca="1">IFERROR(__xludf.DUMMYFUNCTION("""COMPUTED_VALUE"""),"")</f>
        <v/>
      </c>
      <c r="I144" t="str">
        <f ca="1">IFERROR(__xludf.DUMMYFUNCTION("""COMPUTED_VALUE"""),"---")</f>
        <v>---</v>
      </c>
      <c r="J144" t="str">
        <f ca="1">IFERROR(__xludf.DUMMYFUNCTION("""COMPUTED_VALUE"""),"")</f>
        <v/>
      </c>
      <c r="K144" s="158">
        <f ca="1">IFERROR(__xludf.DUMMYFUNCTION("""COMPUTED_VALUE"""),0.468055555555555)</f>
        <v>0.468055555555555</v>
      </c>
      <c r="L144" t="str">
        <f ca="1">IFERROR(__xludf.DUMMYFUNCTION("""COMPUTED_VALUE"""),"B")</f>
        <v>B</v>
      </c>
      <c r="M144" s="158">
        <f ca="1">IFERROR(__xludf.DUMMYFUNCTION("""COMPUTED_VALUE"""),0.558333333333333)</f>
        <v>0.55833333333333302</v>
      </c>
      <c r="N144" t="str">
        <f ca="1">IFERROR(__xludf.DUMMYFUNCTION("""COMPUTED_VALUE"""),"B")</f>
        <v>B</v>
      </c>
      <c r="O144" s="158">
        <f ca="1">IFERROR(__xludf.DUMMYFUNCTION("""COMPUTED_VALUE"""),0.505555555555555)</f>
        <v>0.50555555555555498</v>
      </c>
      <c r="P144" t="str">
        <f ca="1">IFERROR(__xludf.DUMMYFUNCTION("""COMPUTED_VALUE"""),"A")</f>
        <v>A</v>
      </c>
      <c r="Q144" t="str">
        <f ca="1">IFERROR(__xludf.DUMMYFUNCTION("""COMPUTED_VALUE"""),"")</f>
        <v/>
      </c>
      <c r="R144" t="str">
        <f ca="1">IFERROR(__xludf.DUMMYFUNCTION("""COMPUTED_VALUE"""),"")</f>
        <v/>
      </c>
      <c r="S144" t="str">
        <f ca="1">IFERROR(__xludf.DUMMYFUNCTION("""COMPUTED_VALUE"""),"")</f>
        <v/>
      </c>
      <c r="T144" t="str">
        <f ca="1">IFERROR(__xludf.DUMMYFUNCTION("""COMPUTED_VALUE"""),"")</f>
        <v/>
      </c>
      <c r="U144" t="str">
        <f ca="1">IFERROR(__xludf.DUMMYFUNCTION("""COMPUTED_VALUE"""),"")</f>
        <v/>
      </c>
      <c r="V144" t="str">
        <f ca="1">IFERROR(__xludf.DUMMYFUNCTION("""COMPUTED_VALUE"""),"")</f>
        <v/>
      </c>
      <c r="W144" t="str">
        <f ca="1">IFERROR(__xludf.DUMMYFUNCTION("""COMPUTED_VALUE"""),"")</f>
        <v/>
      </c>
      <c r="X144" t="str">
        <f ca="1">IFERROR(__xludf.DUMMYFUNCTION("""COMPUTED_VALUE"""),"")</f>
        <v/>
      </c>
      <c r="Y144" t="str">
        <f ca="1">IFERROR(__xludf.DUMMYFUNCTION("""COMPUTED_VALUE"""),"SŠ")</f>
        <v>SŠ</v>
      </c>
      <c r="Z144" s="158" t="b">
        <f ca="1">IFERROR(__xludf.DUMMYFUNCTION("""COMPUTED_VALUE"""),FALSE)</f>
        <v>0</v>
      </c>
      <c r="AA144" t="b">
        <f ca="1">IFERROR(__xludf.DUMMYFUNCTION("""COMPUTED_VALUE"""),TRUE)</f>
        <v>1</v>
      </c>
      <c r="AB144" t="b">
        <f ca="1">IFERROR(__xludf.DUMMYFUNCTION("""COMPUTED_VALUE"""),TRUE)</f>
        <v>1</v>
      </c>
      <c r="AC144" t="b">
        <f ca="1">IFERROR(__xludf.DUMMYFUNCTION("""COMPUTED_VALUE"""),FALSE)</f>
        <v>0</v>
      </c>
      <c r="AD144" t="b">
        <f ca="1">IFERROR(__xludf.DUMMYFUNCTION("""COMPUTED_VALUE"""),FALSE)</f>
        <v>0</v>
      </c>
      <c r="AE144" t="b">
        <f ca="1">IFERROR(__xludf.DUMMYFUNCTION("""COMPUTED_VALUE"""),FALSE)</f>
        <v>0</v>
      </c>
      <c r="AF144" t="b">
        <f ca="1">IFERROR(__xludf.DUMMYFUNCTION("""COMPUTED_VALUE"""),FALSE)</f>
        <v>0</v>
      </c>
      <c r="AG144" t="str">
        <f ca="1">IFERROR(__xludf.DUMMYFUNCTION("""COMPUTED_VALUE"""),"Dálkový medvěd (bear rescue), Autonomní medvěd (bear rescue advance)")</f>
        <v>Dálkový medvěd (bear rescue), Autonomní medvěd (bear rescue advance)</v>
      </c>
    </row>
    <row r="145" spans="1:33" ht="13.2">
      <c r="A145">
        <f ca="1">IFERROR(__xludf.DUMMYFUNCTION("""COMPUTED_VALUE"""),152)</f>
        <v>152</v>
      </c>
      <c r="B145" t="str">
        <f ca="1">IFERROR(__xludf.DUMMYFUNCTION("""COMPUTED_VALUE"""),"Sezimovo Ústí")</f>
        <v>Sezimovo Ústí</v>
      </c>
      <c r="C145" t="str">
        <f ca="1">IFERROR(__xludf.DUMMYFUNCTION("""COMPUTED_VALUE"""),"VOŠ, SŠ, COP Sezimovo Ústí")</f>
        <v>VOŠ, SŠ, COP Sezimovo Ústí</v>
      </c>
      <c r="D145" t="str">
        <f ca="1">IFERROR(__xludf.DUMMYFUNCTION("""COMPUTED_VALUE"""),"Problémy")</f>
        <v>Problémy</v>
      </c>
      <c r="E145" t="str">
        <f ca="1">IFERROR(__xludf.DUMMYFUNCTION("""COMPUTED_VALUE"""),"---")</f>
        <v>---</v>
      </c>
      <c r="F145" t="str">
        <f ca="1">IFERROR(__xludf.DUMMYFUNCTION("""COMPUTED_VALUE"""),"")</f>
        <v/>
      </c>
      <c r="G145" t="str">
        <f ca="1">IFERROR(__xludf.DUMMYFUNCTION("""COMPUTED_VALUE"""),"---")</f>
        <v>---</v>
      </c>
      <c r="H145" t="str">
        <f ca="1">IFERROR(__xludf.DUMMYFUNCTION("""COMPUTED_VALUE"""),"")</f>
        <v/>
      </c>
      <c r="I145" t="str">
        <f ca="1">IFERROR(__xludf.DUMMYFUNCTION("""COMPUTED_VALUE"""),"---")</f>
        <v>---</v>
      </c>
      <c r="J145" t="str">
        <f ca="1">IFERROR(__xludf.DUMMYFUNCTION("""COMPUTED_VALUE"""),"")</f>
        <v/>
      </c>
      <c r="K145" t="str">
        <f ca="1">IFERROR(__xludf.DUMMYFUNCTION("""COMPUTED_VALUE"""),"")</f>
        <v/>
      </c>
      <c r="L145" t="str">
        <f ca="1">IFERROR(__xludf.DUMMYFUNCTION("""COMPUTED_VALUE"""),"")</f>
        <v/>
      </c>
      <c r="M145" t="str">
        <f ca="1">IFERROR(__xludf.DUMMYFUNCTION("""COMPUTED_VALUE"""),"")</f>
        <v/>
      </c>
      <c r="N145" t="str">
        <f ca="1">IFERROR(__xludf.DUMMYFUNCTION("""COMPUTED_VALUE"""),"")</f>
        <v/>
      </c>
      <c r="O145" t="str">
        <f ca="1">IFERROR(__xludf.DUMMYFUNCTION("""COMPUTED_VALUE"""),"")</f>
        <v/>
      </c>
      <c r="P145" t="str">
        <f ca="1">IFERROR(__xludf.DUMMYFUNCTION("""COMPUTED_VALUE"""),"")</f>
        <v/>
      </c>
      <c r="Q145" t="str">
        <f ca="1">IFERROR(__xludf.DUMMYFUNCTION("""COMPUTED_VALUE"""),"")</f>
        <v/>
      </c>
      <c r="R145" t="str">
        <f ca="1">IFERROR(__xludf.DUMMYFUNCTION("""COMPUTED_VALUE"""),"")</f>
        <v/>
      </c>
      <c r="S145" t="str">
        <f ca="1">IFERROR(__xludf.DUMMYFUNCTION("""COMPUTED_VALUE"""),"")</f>
        <v/>
      </c>
      <c r="T145" t="str">
        <f ca="1">IFERROR(__xludf.DUMMYFUNCTION("""COMPUTED_VALUE"""),"")</f>
        <v/>
      </c>
      <c r="U145" s="158">
        <f ca="1">IFERROR(__xludf.DUMMYFUNCTION("""COMPUTED_VALUE"""),0.536111111111111)</f>
        <v>0.53611111111111098</v>
      </c>
      <c r="V145" t="str">
        <f ca="1">IFERROR(__xludf.DUMMYFUNCTION("""COMPUTED_VALUE"""),"A")</f>
        <v>A</v>
      </c>
      <c r="W145" s="158">
        <f ca="1">IFERROR(__xludf.DUMMYFUNCTION("""COMPUTED_VALUE"""),0.574305555555555)</f>
        <v>0.57430555555555496</v>
      </c>
      <c r="X145" t="str">
        <f ca="1">IFERROR(__xludf.DUMMYFUNCTION("""COMPUTED_VALUE"""),"A")</f>
        <v>A</v>
      </c>
      <c r="Y145" t="str">
        <f ca="1">IFERROR(__xludf.DUMMYFUNCTION("""COMPUTED_VALUE"""),"SŠ")</f>
        <v>SŠ</v>
      </c>
      <c r="Z145" s="158" t="b">
        <f ca="1">IFERROR(__xludf.DUMMYFUNCTION("""COMPUTED_VALUE"""),FALSE)</f>
        <v>0</v>
      </c>
      <c r="AA145" t="b">
        <f ca="1">IFERROR(__xludf.DUMMYFUNCTION("""COMPUTED_VALUE"""),FALSE)</f>
        <v>0</v>
      </c>
      <c r="AB145" t="b">
        <f ca="1">IFERROR(__xludf.DUMMYFUNCTION("""COMPUTED_VALUE"""),FALSE)</f>
        <v>0</v>
      </c>
      <c r="AC145" t="b">
        <f ca="1">IFERROR(__xludf.DUMMYFUNCTION("""COMPUTED_VALUE"""),FALSE)</f>
        <v>0</v>
      </c>
      <c r="AD145" t="b">
        <f ca="1">IFERROR(__xludf.DUMMYFUNCTION("""COMPUTED_VALUE"""),TRUE)</f>
        <v>1</v>
      </c>
      <c r="AE145" t="b">
        <f ca="1">IFERROR(__xludf.DUMMYFUNCTION("""COMPUTED_VALUE"""),FALSE)</f>
        <v>0</v>
      </c>
      <c r="AF145" t="b">
        <f ca="1">IFERROR(__xludf.DUMMYFUNCTION("""COMPUTED_VALUE"""),FALSE)</f>
        <v>0</v>
      </c>
      <c r="AG145" t="str">
        <f ca="1">IFERROR(__xludf.DUMMYFUNCTION("""COMPUTED_VALUE"""),"Sprint - NeLEGOvý (drag race - Non Lego)")</f>
        <v>Sprint - NeLEGOvý (drag race - Non Lego)</v>
      </c>
    </row>
    <row r="146" spans="1:33" ht="13.2">
      <c r="A146">
        <f ca="1">IFERROR(__xludf.DUMMYFUNCTION("""COMPUTED_VALUE"""),153)</f>
        <v>153</v>
      </c>
      <c r="B146" t="str">
        <f ca="1">IFERROR(__xludf.DUMMYFUNCTION("""COMPUTED_VALUE"""),"Sezimovo Ústí")</f>
        <v>Sezimovo Ústí</v>
      </c>
      <c r="C146" t="str">
        <f ca="1">IFERROR(__xludf.DUMMYFUNCTION("""COMPUTED_VALUE"""),"VOŠ, SŠ, COP Sezimovo Ústí")</f>
        <v>VOŠ, SŠ, COP Sezimovo Ústí</v>
      </c>
      <c r="D146" t="str">
        <f ca="1">IFERROR(__xludf.DUMMYFUNCTION("""COMPUTED_VALUE"""),"Plastová plechovka")</f>
        <v>Plastová plechovka</v>
      </c>
      <c r="E146" s="158">
        <f ca="1">IFERROR(__xludf.DUMMYFUNCTION("""COMPUTED_VALUE"""),0.450694444444444)</f>
        <v>0.45069444444444401</v>
      </c>
      <c r="F146" t="str">
        <f ca="1">IFERROR(__xludf.DUMMYFUNCTION("""COMPUTED_VALUE"""),"B")</f>
        <v>B</v>
      </c>
      <c r="G146" s="158">
        <f ca="1">IFERROR(__xludf.DUMMYFUNCTION("""COMPUTED_VALUE"""),0.520833333333333)</f>
        <v>0.52083333333333304</v>
      </c>
      <c r="H146" t="str">
        <f ca="1">IFERROR(__xludf.DUMMYFUNCTION("""COMPUTED_VALUE"""),"B")</f>
        <v>B</v>
      </c>
      <c r="I146" s="158">
        <f ca="1">IFERROR(__xludf.DUMMYFUNCTION("""COMPUTED_VALUE"""),0.595833333333333)</f>
        <v>0.59583333333333299</v>
      </c>
      <c r="J146" t="str">
        <f ca="1">IFERROR(__xludf.DUMMYFUNCTION("""COMPUTED_VALUE"""),"B")</f>
        <v>B</v>
      </c>
      <c r="K146" t="str">
        <f ca="1">IFERROR(__xludf.DUMMYFUNCTION("""COMPUTED_VALUE"""),"")</f>
        <v/>
      </c>
      <c r="L146" t="str">
        <f ca="1">IFERROR(__xludf.DUMMYFUNCTION("""COMPUTED_VALUE"""),"")</f>
        <v/>
      </c>
      <c r="M146" t="str">
        <f ca="1">IFERROR(__xludf.DUMMYFUNCTION("""COMPUTED_VALUE"""),"")</f>
        <v/>
      </c>
      <c r="N146" t="str">
        <f ca="1">IFERROR(__xludf.DUMMYFUNCTION("""COMPUTED_VALUE"""),"")</f>
        <v/>
      </c>
      <c r="O146" t="str">
        <f ca="1">IFERROR(__xludf.DUMMYFUNCTION("""COMPUTED_VALUE"""),"")</f>
        <v/>
      </c>
      <c r="P146" t="str">
        <f ca="1">IFERROR(__xludf.DUMMYFUNCTION("""COMPUTED_VALUE"""),"")</f>
        <v/>
      </c>
      <c r="Q146" t="str">
        <f ca="1">IFERROR(__xludf.DUMMYFUNCTION("""COMPUTED_VALUE"""),"")</f>
        <v/>
      </c>
      <c r="R146" t="str">
        <f ca="1">IFERROR(__xludf.DUMMYFUNCTION("""COMPUTED_VALUE"""),"")</f>
        <v/>
      </c>
      <c r="S146" t="str">
        <f ca="1">IFERROR(__xludf.DUMMYFUNCTION("""COMPUTED_VALUE"""),"")</f>
        <v/>
      </c>
      <c r="T146" t="str">
        <f ca="1">IFERROR(__xludf.DUMMYFUNCTION("""COMPUTED_VALUE"""),"")</f>
        <v/>
      </c>
      <c r="U146" t="str">
        <f ca="1">IFERROR(__xludf.DUMMYFUNCTION("""COMPUTED_VALUE"""),"")</f>
        <v/>
      </c>
      <c r="V146" t="str">
        <f ca="1">IFERROR(__xludf.DUMMYFUNCTION("""COMPUTED_VALUE"""),"")</f>
        <v/>
      </c>
      <c r="W146" t="str">
        <f ca="1">IFERROR(__xludf.DUMMYFUNCTION("""COMPUTED_VALUE"""),"")</f>
        <v/>
      </c>
      <c r="X146" t="str">
        <f ca="1">IFERROR(__xludf.DUMMYFUNCTION("""COMPUTED_VALUE"""),"")</f>
        <v/>
      </c>
      <c r="Y146" t="str">
        <f ca="1">IFERROR(__xludf.DUMMYFUNCTION("""COMPUTED_VALUE"""),"SŠ")</f>
        <v>SŠ</v>
      </c>
      <c r="Z146" t="b">
        <f ca="1">IFERROR(__xludf.DUMMYFUNCTION("""COMPUTED_VALUE"""),FALSE)</f>
        <v>0</v>
      </c>
      <c r="AA146" t="b">
        <f ca="1">IFERROR(__xludf.DUMMYFUNCTION("""COMPUTED_VALUE"""),FALSE)</f>
        <v>0</v>
      </c>
      <c r="AB146" t="b">
        <f ca="1">IFERROR(__xludf.DUMMYFUNCTION("""COMPUTED_VALUE"""),FALSE)</f>
        <v>0</v>
      </c>
      <c r="AC146" t="b">
        <f ca="1">IFERROR(__xludf.DUMMYFUNCTION("""COMPUTED_VALUE"""),FALSE)</f>
        <v>0</v>
      </c>
      <c r="AD146" t="b">
        <f ca="1">IFERROR(__xludf.DUMMYFUNCTION("""COMPUTED_VALUE"""),FALSE)</f>
        <v>0</v>
      </c>
      <c r="AE146" t="b">
        <f ca="1">IFERROR(__xludf.DUMMYFUNCTION("""COMPUTED_VALUE"""),FALSE)</f>
        <v>0</v>
      </c>
      <c r="AF146" t="b">
        <f ca="1">IFERROR(__xludf.DUMMYFUNCTION("""COMPUTED_VALUE"""),FALSE)</f>
        <v>0</v>
      </c>
      <c r="AG146" t="str">
        <f ca="1">IFERROR(__xludf.DUMMYFUNCTION("""COMPUTED_VALUE"""),"Čára (line follower)")</f>
        <v>Čára (line follower)</v>
      </c>
    </row>
    <row r="147" spans="1:33" ht="13.2">
      <c r="A147">
        <f ca="1">IFERROR(__xludf.DUMMYFUNCTION("""COMPUTED_VALUE"""),154)</f>
        <v>154</v>
      </c>
      <c r="B147" t="str">
        <f ca="1">IFERROR(__xludf.DUMMYFUNCTION("""COMPUTED_VALUE"""),"Ostrava")</f>
        <v>Ostrava</v>
      </c>
      <c r="C147" t="str">
        <f ca="1">IFERROR(__xludf.DUMMYFUNCTION("""COMPUTED_VALUE"""),"Wichterlovo gymnázium, Ostrava-Poruba")</f>
        <v>Wichterlovo gymnázium, Ostrava-Poruba</v>
      </c>
      <c r="D147" t="str">
        <f ca="1">IFERROR(__xludf.DUMMYFUNCTION("""COMPUTED_VALUE"""),"PVD Crew")</f>
        <v>PVD Crew</v>
      </c>
      <c r="E147" s="158">
        <f ca="1">IFERROR(__xludf.DUMMYFUNCTION("""COMPUTED_VALUE"""),0.449305555555555)</f>
        <v>0.44930555555555501</v>
      </c>
      <c r="F147" t="str">
        <f ca="1">IFERROR(__xludf.DUMMYFUNCTION("""COMPUTED_VALUE"""),"A")</f>
        <v>A</v>
      </c>
      <c r="G147" s="158">
        <f ca="1">IFERROR(__xludf.DUMMYFUNCTION("""COMPUTED_VALUE"""),0.519444444444444)</f>
        <v>0.51944444444444404</v>
      </c>
      <c r="H147" t="str">
        <f ca="1">IFERROR(__xludf.DUMMYFUNCTION("""COMPUTED_VALUE"""),"A")</f>
        <v>A</v>
      </c>
      <c r="I147" s="158">
        <f ca="1">IFERROR(__xludf.DUMMYFUNCTION("""COMPUTED_VALUE"""),0.594444444444444)</f>
        <v>0.594444444444444</v>
      </c>
      <c r="J147" t="str">
        <f ca="1">IFERROR(__xludf.DUMMYFUNCTION("""COMPUTED_VALUE"""),"A")</f>
        <v>A</v>
      </c>
      <c r="K147" t="str">
        <f ca="1">IFERROR(__xludf.DUMMYFUNCTION("""COMPUTED_VALUE"""),"")</f>
        <v/>
      </c>
      <c r="L147" t="str">
        <f ca="1">IFERROR(__xludf.DUMMYFUNCTION("""COMPUTED_VALUE"""),"")</f>
        <v/>
      </c>
      <c r="M147" t="str">
        <f ca="1">IFERROR(__xludf.DUMMYFUNCTION("""COMPUTED_VALUE"""),"")</f>
        <v/>
      </c>
      <c r="N147" t="str">
        <f ca="1">IFERROR(__xludf.DUMMYFUNCTION("""COMPUTED_VALUE"""),"")</f>
        <v/>
      </c>
      <c r="O147" s="158">
        <f ca="1">IFERROR(__xludf.DUMMYFUNCTION("""COMPUTED_VALUE"""),0.505555555555555)</f>
        <v>0.50555555555555498</v>
      </c>
      <c r="P147" t="str">
        <f ca="1">IFERROR(__xludf.DUMMYFUNCTION("""COMPUTED_VALUE"""),"B")</f>
        <v>B</v>
      </c>
      <c r="Q147" t="str">
        <f ca="1">IFERROR(__xludf.DUMMYFUNCTION("""COMPUTED_VALUE"""),"")</f>
        <v/>
      </c>
      <c r="R147" t="str">
        <f ca="1">IFERROR(__xludf.DUMMYFUNCTION("""COMPUTED_VALUE"""),"")</f>
        <v/>
      </c>
      <c r="S147" t="str">
        <f ca="1">IFERROR(__xludf.DUMMYFUNCTION("""COMPUTED_VALUE"""),"")</f>
        <v/>
      </c>
      <c r="T147" t="str">
        <f ca="1">IFERROR(__xludf.DUMMYFUNCTION("""COMPUTED_VALUE"""),"")</f>
        <v/>
      </c>
      <c r="U147" t="str">
        <f ca="1">IFERROR(__xludf.DUMMYFUNCTION("""COMPUTED_VALUE"""),"")</f>
        <v/>
      </c>
      <c r="V147" t="str">
        <f ca="1">IFERROR(__xludf.DUMMYFUNCTION("""COMPUTED_VALUE"""),"")</f>
        <v/>
      </c>
      <c r="W147" t="str">
        <f ca="1">IFERROR(__xludf.DUMMYFUNCTION("""COMPUTED_VALUE"""),"")</f>
        <v/>
      </c>
      <c r="X147" t="str">
        <f ca="1">IFERROR(__xludf.DUMMYFUNCTION("""COMPUTED_VALUE"""),"")</f>
        <v/>
      </c>
      <c r="Y147" t="str">
        <f ca="1">IFERROR(__xludf.DUMMYFUNCTION("""COMPUTED_VALUE"""),"ZŠ")</f>
        <v>ZŠ</v>
      </c>
      <c r="Z147" t="b">
        <f ca="1">IFERROR(__xludf.DUMMYFUNCTION("""COMPUTED_VALUE"""),TRUE)</f>
        <v>1</v>
      </c>
      <c r="AA147" t="b">
        <f ca="1">IFERROR(__xludf.DUMMYFUNCTION("""COMPUTED_VALUE"""),FALSE)</f>
        <v>0</v>
      </c>
      <c r="AB147" t="b">
        <f ca="1">IFERROR(__xludf.DUMMYFUNCTION("""COMPUTED_VALUE"""),TRUE)</f>
        <v>1</v>
      </c>
      <c r="AC147" t="b">
        <f ca="1">IFERROR(__xludf.DUMMYFUNCTION("""COMPUTED_VALUE"""),FALSE)</f>
        <v>0</v>
      </c>
      <c r="AD147" t="b">
        <f ca="1">IFERROR(__xludf.DUMMYFUNCTION("""COMPUTED_VALUE"""),FALSE)</f>
        <v>0</v>
      </c>
      <c r="AE147" t="b">
        <f ca="1">IFERROR(__xludf.DUMMYFUNCTION("""COMPUTED_VALUE"""),TRUE)</f>
        <v>1</v>
      </c>
      <c r="AF147" t="b">
        <f ca="1">IFERROR(__xludf.DUMMYFUNCTION("""COMPUTED_VALUE"""),FALSE)</f>
        <v>0</v>
      </c>
      <c r="AG147" t="str">
        <f ca="1">IFERROR(__xludf.DUMMYFUNCTION("""COMPUTED_VALUE"""),"Čára (line follower), Dálkový medvěd (bear rescue), Freestyle")</f>
        <v>Čára (line follower), Dálkový medvěd (bear rescue), Freestyle</v>
      </c>
    </row>
    <row r="148" spans="1:33" ht="13.2">
      <c r="A148">
        <f ca="1">IFERROR(__xludf.DUMMYFUNCTION("""COMPUTED_VALUE"""),155)</f>
        <v>155</v>
      </c>
      <c r="B148" t="str">
        <f ca="1">IFERROR(__xludf.DUMMYFUNCTION("""COMPUTED_VALUE"""),"Ostrava")</f>
        <v>Ostrava</v>
      </c>
      <c r="C148" t="str">
        <f ca="1">IFERROR(__xludf.DUMMYFUNCTION("""COMPUTED_VALUE"""),"Wichterlovo gymnázium, Ostrava-Poruba")</f>
        <v>Wichterlovo gymnázium, Ostrava-Poruba</v>
      </c>
      <c r="D148" t="str">
        <f ca="1">IFERROR(__xludf.DUMMYFUNCTION("""COMPUTED_VALUE"""),"Nerdíci z kvarty")</f>
        <v>Nerdíci z kvarty</v>
      </c>
      <c r="E148" s="158">
        <f ca="1">IFERROR(__xludf.DUMMYFUNCTION("""COMPUTED_VALUE"""),0.452083333333333)</f>
        <v>0.452083333333333</v>
      </c>
      <c r="F148" t="str">
        <f ca="1">IFERROR(__xludf.DUMMYFUNCTION("""COMPUTED_VALUE"""),"B")</f>
        <v>B</v>
      </c>
      <c r="G148" s="158">
        <f ca="1">IFERROR(__xludf.DUMMYFUNCTION("""COMPUTED_VALUE"""),0.522222222222222)</f>
        <v>0.52222222222222203</v>
      </c>
      <c r="H148" t="str">
        <f ca="1">IFERROR(__xludf.DUMMYFUNCTION("""COMPUTED_VALUE"""),"B")</f>
        <v>B</v>
      </c>
      <c r="I148" s="158">
        <f ca="1">IFERROR(__xludf.DUMMYFUNCTION("""COMPUTED_VALUE"""),0.597222222222222)</f>
        <v>0.59722222222222199</v>
      </c>
      <c r="J148" t="str">
        <f ca="1">IFERROR(__xludf.DUMMYFUNCTION("""COMPUTED_VALUE"""),"B")</f>
        <v>B</v>
      </c>
      <c r="K148" t="str">
        <f ca="1">IFERROR(__xludf.DUMMYFUNCTION("""COMPUTED_VALUE"""),"")</f>
        <v/>
      </c>
      <c r="L148" t="str">
        <f ca="1">IFERROR(__xludf.DUMMYFUNCTION("""COMPUTED_VALUE"""),"")</f>
        <v/>
      </c>
      <c r="M148" t="str">
        <f ca="1">IFERROR(__xludf.DUMMYFUNCTION("""COMPUTED_VALUE"""),"")</f>
        <v/>
      </c>
      <c r="N148" t="str">
        <f ca="1">IFERROR(__xludf.DUMMYFUNCTION("""COMPUTED_VALUE"""),"")</f>
        <v/>
      </c>
      <c r="O148" s="158">
        <f ca="1">IFERROR(__xludf.DUMMYFUNCTION("""COMPUTED_VALUE"""),0.506944444444444)</f>
        <v>0.50694444444444398</v>
      </c>
      <c r="P148" t="str">
        <f ca="1">IFERROR(__xludf.DUMMYFUNCTION("""COMPUTED_VALUE"""),"A")</f>
        <v>A</v>
      </c>
      <c r="Q148" t="str">
        <f ca="1">IFERROR(__xludf.DUMMYFUNCTION("""COMPUTED_VALUE"""),"")</f>
        <v/>
      </c>
      <c r="R148" t="str">
        <f ca="1">IFERROR(__xludf.DUMMYFUNCTION("""COMPUTED_VALUE"""),"")</f>
        <v/>
      </c>
      <c r="S148" t="str">
        <f ca="1">IFERROR(__xludf.DUMMYFUNCTION("""COMPUTED_VALUE"""),"")</f>
        <v/>
      </c>
      <c r="T148" t="str">
        <f ca="1">IFERROR(__xludf.DUMMYFUNCTION("""COMPUTED_VALUE"""),"")</f>
        <v/>
      </c>
      <c r="U148" s="158">
        <f ca="1">IFERROR(__xludf.DUMMYFUNCTION("""COMPUTED_VALUE"""),0.536111111111111)</f>
        <v>0.53611111111111098</v>
      </c>
      <c r="V148" t="str">
        <f ca="1">IFERROR(__xludf.DUMMYFUNCTION("""COMPUTED_VALUE"""),"B")</f>
        <v>B</v>
      </c>
      <c r="W148" s="158">
        <f ca="1">IFERROR(__xludf.DUMMYFUNCTION("""COMPUTED_VALUE"""),0.574305555555555)</f>
        <v>0.57430555555555496</v>
      </c>
      <c r="X148" t="str">
        <f ca="1">IFERROR(__xludf.DUMMYFUNCTION("""COMPUTED_VALUE"""),"B")</f>
        <v>B</v>
      </c>
      <c r="Y148" t="str">
        <f ca="1">IFERROR(__xludf.DUMMYFUNCTION("""COMPUTED_VALUE"""),"ZŠ")</f>
        <v>ZŠ</v>
      </c>
      <c r="Z148" t="b">
        <f ca="1">IFERROR(__xludf.DUMMYFUNCTION("""COMPUTED_VALUE"""),TRUE)</f>
        <v>1</v>
      </c>
      <c r="AA148" t="b">
        <f ca="1">IFERROR(__xludf.DUMMYFUNCTION("""COMPUTED_VALUE"""),FALSE)</f>
        <v>0</v>
      </c>
      <c r="AB148" t="b">
        <f ca="1">IFERROR(__xludf.DUMMYFUNCTION("""COMPUTED_VALUE"""),TRUE)</f>
        <v>1</v>
      </c>
      <c r="AC148" t="b">
        <f ca="1">IFERROR(__xludf.DUMMYFUNCTION("""COMPUTED_VALUE"""),FALSE)</f>
        <v>0</v>
      </c>
      <c r="AD148" t="b">
        <f ca="1">IFERROR(__xludf.DUMMYFUNCTION("""COMPUTED_VALUE"""),TRUE)</f>
        <v>1</v>
      </c>
      <c r="AE148" t="b">
        <f ca="1">IFERROR(__xludf.DUMMYFUNCTION("""COMPUTED_VALUE"""),FALSE)</f>
        <v>0</v>
      </c>
      <c r="AF148" t="b">
        <f ca="1">IFERROR(__xludf.DUMMYFUNCTION("""COMPUTED_VALUE"""),FALSE)</f>
        <v>0</v>
      </c>
      <c r="AG148" t="str">
        <f ca="1">IFERROR(__xludf.DUMMYFUNCTION("""COMPUTED_VALUE"""),"Čára (line follower), Dálkový medvěd (bear rescue), Sprint - NeLEGOvý (drag race - Non Lego)")</f>
        <v>Čára (line follower), Dálkový medvěd (bear rescue), Sprint - NeLEGOvý (drag race - Non Lego)</v>
      </c>
    </row>
    <row r="149" spans="1:33" ht="13.2">
      <c r="A149">
        <f ca="1">IFERROR(__xludf.DUMMYFUNCTION("""COMPUTED_VALUE"""),156)</f>
        <v>156</v>
      </c>
      <c r="B149" t="str">
        <f ca="1">IFERROR(__xludf.DUMMYFUNCTION("""COMPUTED_VALUE"""),"Jakubov")</f>
        <v>Jakubov</v>
      </c>
      <c r="C149" t="str">
        <f ca="1">IFERROR(__xludf.DUMMYFUNCTION("""COMPUTED_VALUE"""),"Základná škola Jakubov")</f>
        <v>Základná škola Jakubov</v>
      </c>
      <c r="D149" t="str">
        <f ca="1">IFERROR(__xludf.DUMMYFUNCTION("""COMPUTED_VALUE"""),"Shrek")</f>
        <v>Shrek</v>
      </c>
      <c r="E149" t="str">
        <f ca="1">IFERROR(__xludf.DUMMYFUNCTION("""COMPUTED_VALUE"""),"---")</f>
        <v>---</v>
      </c>
      <c r="F149" t="str">
        <f ca="1">IFERROR(__xludf.DUMMYFUNCTION("""COMPUTED_VALUE"""),"")</f>
        <v/>
      </c>
      <c r="G149" s="158" t="str">
        <f ca="1">IFERROR(__xludf.DUMMYFUNCTION("""COMPUTED_VALUE"""),"---")</f>
        <v>---</v>
      </c>
      <c r="H149" t="str">
        <f ca="1">IFERROR(__xludf.DUMMYFUNCTION("""COMPUTED_VALUE"""),"")</f>
        <v/>
      </c>
      <c r="I149" s="158" t="str">
        <f ca="1">IFERROR(__xludf.DUMMYFUNCTION("""COMPUTED_VALUE"""),"---")</f>
        <v>---</v>
      </c>
      <c r="J149" t="str">
        <f ca="1">IFERROR(__xludf.DUMMYFUNCTION("""COMPUTED_VALUE"""),"")</f>
        <v/>
      </c>
      <c r="K149" t="str">
        <f ca="1">IFERROR(__xludf.DUMMYFUNCTION("""COMPUTED_VALUE"""),"")</f>
        <v/>
      </c>
      <c r="L149" t="str">
        <f ca="1">IFERROR(__xludf.DUMMYFUNCTION("""COMPUTED_VALUE"""),"")</f>
        <v/>
      </c>
      <c r="M149" t="str">
        <f ca="1">IFERROR(__xludf.DUMMYFUNCTION("""COMPUTED_VALUE"""),"")</f>
        <v/>
      </c>
      <c r="N149" t="str">
        <f ca="1">IFERROR(__xludf.DUMMYFUNCTION("""COMPUTED_VALUE"""),"")</f>
        <v/>
      </c>
      <c r="O149" t="str">
        <f ca="1">IFERROR(__xludf.DUMMYFUNCTION("""COMPUTED_VALUE"""),"")</f>
        <v/>
      </c>
      <c r="P149" t="str">
        <f ca="1">IFERROR(__xludf.DUMMYFUNCTION("""COMPUTED_VALUE"""),"")</f>
        <v/>
      </c>
      <c r="Q149" t="str">
        <f ca="1">IFERROR(__xludf.DUMMYFUNCTION("""COMPUTED_VALUE"""),"")</f>
        <v/>
      </c>
      <c r="R149" t="str">
        <f ca="1">IFERROR(__xludf.DUMMYFUNCTION("""COMPUTED_VALUE"""),"")</f>
        <v/>
      </c>
      <c r="S149" t="str">
        <f ca="1">IFERROR(__xludf.DUMMYFUNCTION("""COMPUTED_VALUE"""),"")</f>
        <v/>
      </c>
      <c r="T149" t="str">
        <f ca="1">IFERROR(__xludf.DUMMYFUNCTION("""COMPUTED_VALUE"""),"")</f>
        <v/>
      </c>
      <c r="U149" t="str">
        <f ca="1">IFERROR(__xludf.DUMMYFUNCTION("""COMPUTED_VALUE"""),"")</f>
        <v/>
      </c>
      <c r="V149" t="str">
        <f ca="1">IFERROR(__xludf.DUMMYFUNCTION("""COMPUTED_VALUE"""),"")</f>
        <v/>
      </c>
      <c r="W149" t="str">
        <f ca="1">IFERROR(__xludf.DUMMYFUNCTION("""COMPUTED_VALUE"""),"")</f>
        <v/>
      </c>
      <c r="X149" t="str">
        <f ca="1">IFERROR(__xludf.DUMMYFUNCTION("""COMPUTED_VALUE"""),"")</f>
        <v/>
      </c>
      <c r="Y149" t="str">
        <f ca="1">IFERROR(__xludf.DUMMYFUNCTION("""COMPUTED_VALUE"""),"ZŠ")</f>
        <v>ZŠ</v>
      </c>
      <c r="Z149" s="158" t="b">
        <f ca="1">IFERROR(__xludf.DUMMYFUNCTION("""COMPUTED_VALUE"""),FALSE)</f>
        <v>0</v>
      </c>
      <c r="AA149" t="b">
        <f ca="1">IFERROR(__xludf.DUMMYFUNCTION("""COMPUTED_VALUE"""),FALSE)</f>
        <v>0</v>
      </c>
      <c r="AB149" t="b">
        <f ca="1">IFERROR(__xludf.DUMMYFUNCTION("""COMPUTED_VALUE"""),FALSE)</f>
        <v>0</v>
      </c>
      <c r="AC149" t="b">
        <f ca="1">IFERROR(__xludf.DUMMYFUNCTION("""COMPUTED_VALUE"""),FALSE)</f>
        <v>0</v>
      </c>
      <c r="AD149" t="b">
        <f ca="1">IFERROR(__xludf.DUMMYFUNCTION("""COMPUTED_VALUE"""),FALSE)</f>
        <v>0</v>
      </c>
      <c r="AE149" t="b">
        <f ca="1">IFERROR(__xludf.DUMMYFUNCTION("""COMPUTED_VALUE"""),TRUE)</f>
        <v>1</v>
      </c>
      <c r="AF149" t="b">
        <f ca="1">IFERROR(__xludf.DUMMYFUNCTION("""COMPUTED_VALUE"""),FALSE)</f>
        <v>0</v>
      </c>
      <c r="AG149" t="str">
        <f ca="1">IFERROR(__xludf.DUMMYFUNCTION("""COMPUTED_VALUE"""),"Freestyle")</f>
        <v>Freestyle</v>
      </c>
    </row>
    <row r="150" spans="1:33" ht="13.2">
      <c r="A150">
        <f ca="1">IFERROR(__xludf.DUMMYFUNCTION("""COMPUTED_VALUE"""),157)</f>
        <v>157</v>
      </c>
      <c r="B150" t="str">
        <f ca="1">IFERROR(__xludf.DUMMYFUNCTION("""COMPUTED_VALUE"""),"Banská Bystrica")</f>
        <v>Banská Bystrica</v>
      </c>
      <c r="C150" t="str">
        <f ca="1">IFERROR(__xludf.DUMMYFUNCTION("""COMPUTED_VALUE"""),"Základná škola, Trieda SNP 20, Banská Bystrica")</f>
        <v>Základná škola, Trieda SNP 20, Banská Bystrica</v>
      </c>
      <c r="D150" t="str">
        <f ca="1">IFERROR(__xludf.DUMMYFUNCTION("""COMPUTED_VALUE"""),"Voittaja")</f>
        <v>Voittaja</v>
      </c>
      <c r="E150" t="str">
        <f ca="1">IFERROR(__xludf.DUMMYFUNCTION("""COMPUTED_VALUE"""),"---")</f>
        <v>---</v>
      </c>
      <c r="F150" t="str">
        <f ca="1">IFERROR(__xludf.DUMMYFUNCTION("""COMPUTED_VALUE"""),"")</f>
        <v/>
      </c>
      <c r="G150" s="158" t="str">
        <f ca="1">IFERROR(__xludf.DUMMYFUNCTION("""COMPUTED_VALUE"""),"---")</f>
        <v>---</v>
      </c>
      <c r="H150" t="str">
        <f ca="1">IFERROR(__xludf.DUMMYFUNCTION("""COMPUTED_VALUE"""),"")</f>
        <v/>
      </c>
      <c r="I150" s="158" t="str">
        <f ca="1">IFERROR(__xludf.DUMMYFUNCTION("""COMPUTED_VALUE"""),"---")</f>
        <v>---</v>
      </c>
      <c r="J150" t="str">
        <f ca="1">IFERROR(__xludf.DUMMYFUNCTION("""COMPUTED_VALUE"""),"")</f>
        <v/>
      </c>
      <c r="K150" t="str">
        <f ca="1">IFERROR(__xludf.DUMMYFUNCTION("""COMPUTED_VALUE"""),"")</f>
        <v/>
      </c>
      <c r="L150" t="str">
        <f ca="1">IFERROR(__xludf.DUMMYFUNCTION("""COMPUTED_VALUE"""),"")</f>
        <v/>
      </c>
      <c r="M150" t="str">
        <f ca="1">IFERROR(__xludf.DUMMYFUNCTION("""COMPUTED_VALUE"""),"")</f>
        <v/>
      </c>
      <c r="N150" t="str">
        <f ca="1">IFERROR(__xludf.DUMMYFUNCTION("""COMPUTED_VALUE"""),"")</f>
        <v/>
      </c>
      <c r="O150" s="158">
        <f ca="1">IFERROR(__xludf.DUMMYFUNCTION("""COMPUTED_VALUE"""),0.506944444444444)</f>
        <v>0.50694444444444398</v>
      </c>
      <c r="P150" t="str">
        <f ca="1">IFERROR(__xludf.DUMMYFUNCTION("""COMPUTED_VALUE"""),"B")</f>
        <v>B</v>
      </c>
      <c r="Q150" s="158">
        <f ca="1">IFERROR(__xludf.DUMMYFUNCTION("""COMPUTED_VALUE"""),0.525)</f>
        <v>0.52500000000000002</v>
      </c>
      <c r="R150" t="str">
        <f ca="1">IFERROR(__xludf.DUMMYFUNCTION("""COMPUTED_VALUE"""),"B")</f>
        <v>B</v>
      </c>
      <c r="S150" s="158">
        <f ca="1">IFERROR(__xludf.DUMMYFUNCTION("""COMPUTED_VALUE"""),0.563194444444444)</f>
        <v>0.563194444444444</v>
      </c>
      <c r="T150" t="str">
        <f ca="1">IFERROR(__xludf.DUMMYFUNCTION("""COMPUTED_VALUE"""),"B")</f>
        <v>B</v>
      </c>
      <c r="U150" t="str">
        <f ca="1">IFERROR(__xludf.DUMMYFUNCTION("""COMPUTED_VALUE"""),"")</f>
        <v/>
      </c>
      <c r="V150" t="str">
        <f ca="1">IFERROR(__xludf.DUMMYFUNCTION("""COMPUTED_VALUE"""),"")</f>
        <v/>
      </c>
      <c r="W150" t="str">
        <f ca="1">IFERROR(__xludf.DUMMYFUNCTION("""COMPUTED_VALUE"""),"")</f>
        <v/>
      </c>
      <c r="X150" t="str">
        <f ca="1">IFERROR(__xludf.DUMMYFUNCTION("""COMPUTED_VALUE"""),"")</f>
        <v/>
      </c>
      <c r="Y150" t="str">
        <f ca="1">IFERROR(__xludf.DUMMYFUNCTION("""COMPUTED_VALUE"""),"ZŠ")</f>
        <v>ZŠ</v>
      </c>
      <c r="Z150" t="b">
        <f ca="1">IFERROR(__xludf.DUMMYFUNCTION("""COMPUTED_VALUE"""),FALSE)</f>
        <v>0</v>
      </c>
      <c r="AA150" t="b">
        <f ca="1">IFERROR(__xludf.DUMMYFUNCTION("""COMPUTED_VALUE"""),FALSE)</f>
        <v>0</v>
      </c>
      <c r="AB150" t="b">
        <f ca="1">IFERROR(__xludf.DUMMYFUNCTION("""COMPUTED_VALUE"""),TRUE)</f>
        <v>1</v>
      </c>
      <c r="AC150" t="b">
        <f ca="1">IFERROR(__xludf.DUMMYFUNCTION("""COMPUTED_VALUE"""),TRUE)</f>
        <v>1</v>
      </c>
      <c r="AD150" t="b">
        <f ca="1">IFERROR(__xludf.DUMMYFUNCTION("""COMPUTED_VALUE"""),FALSE)</f>
        <v>0</v>
      </c>
      <c r="AE150" t="b">
        <f ca="1">IFERROR(__xludf.DUMMYFUNCTION("""COMPUTED_VALUE"""),FALSE)</f>
        <v>0</v>
      </c>
      <c r="AF150" t="b">
        <f ca="1">IFERROR(__xludf.DUMMYFUNCTION("""COMPUTED_VALUE"""),FALSE)</f>
        <v>0</v>
      </c>
      <c r="AG150" t="str">
        <f ca="1">IFERROR(__xludf.DUMMYFUNCTION("""COMPUTED_VALUE"""),"Dálkový medvěd (bear rescue), Sprint - LEGO (drag race - Lego)")</f>
        <v>Dálkový medvěd (bear rescue), Sprint - LEGO (drag race - Lego)</v>
      </c>
    </row>
    <row r="151" spans="1:33" ht="13.2">
      <c r="A151">
        <f ca="1">IFERROR(__xludf.DUMMYFUNCTION("""COMPUTED_VALUE"""),158)</f>
        <v>158</v>
      </c>
      <c r="B151" t="str">
        <f ca="1">IFERROR(__xludf.DUMMYFUNCTION("""COMPUTED_VALUE"""),"Banská Bystrica")</f>
        <v>Banská Bystrica</v>
      </c>
      <c r="C151" t="str">
        <f ca="1">IFERROR(__xludf.DUMMYFUNCTION("""COMPUTED_VALUE"""),"Základná škola, Trieda SNP 20, Banská Bystrica")</f>
        <v>Základná škola, Trieda SNP 20, Banská Bystrica</v>
      </c>
      <c r="D151" t="str">
        <f ca="1">IFERROR(__xludf.DUMMYFUNCTION("""COMPUTED_VALUE"""),"Zeus")</f>
        <v>Zeus</v>
      </c>
      <c r="E151" t="str">
        <f ca="1">IFERROR(__xludf.DUMMYFUNCTION("""COMPUTED_VALUE"""),"---")</f>
        <v>---</v>
      </c>
      <c r="F151" t="str">
        <f ca="1">IFERROR(__xludf.DUMMYFUNCTION("""COMPUTED_VALUE"""),"")</f>
        <v/>
      </c>
      <c r="G151" s="158" t="str">
        <f ca="1">IFERROR(__xludf.DUMMYFUNCTION("""COMPUTED_VALUE"""),"---")</f>
        <v>---</v>
      </c>
      <c r="H151" t="str">
        <f ca="1">IFERROR(__xludf.DUMMYFUNCTION("""COMPUTED_VALUE"""),"")</f>
        <v/>
      </c>
      <c r="I151" s="158" t="str">
        <f ca="1">IFERROR(__xludf.DUMMYFUNCTION("""COMPUTED_VALUE"""),"---")</f>
        <v>---</v>
      </c>
      <c r="J151" t="str">
        <f ca="1">IFERROR(__xludf.DUMMYFUNCTION("""COMPUTED_VALUE"""),"")</f>
        <v/>
      </c>
      <c r="K151" t="str">
        <f ca="1">IFERROR(__xludf.DUMMYFUNCTION("""COMPUTED_VALUE"""),"")</f>
        <v/>
      </c>
      <c r="L151" t="str">
        <f ca="1">IFERROR(__xludf.DUMMYFUNCTION("""COMPUTED_VALUE"""),"")</f>
        <v/>
      </c>
      <c r="M151" t="str">
        <f ca="1">IFERROR(__xludf.DUMMYFUNCTION("""COMPUTED_VALUE"""),"")</f>
        <v/>
      </c>
      <c r="N151" t="str">
        <f ca="1">IFERROR(__xludf.DUMMYFUNCTION("""COMPUTED_VALUE"""),"")</f>
        <v/>
      </c>
      <c r="O151" s="158">
        <f ca="1">IFERROR(__xludf.DUMMYFUNCTION("""COMPUTED_VALUE"""),0.508333333333333)</f>
        <v>0.50833333333333297</v>
      </c>
      <c r="P151" t="str">
        <f ca="1">IFERROR(__xludf.DUMMYFUNCTION("""COMPUTED_VALUE"""),"A")</f>
        <v>A</v>
      </c>
      <c r="Q151" s="158">
        <f ca="1">IFERROR(__xludf.DUMMYFUNCTION("""COMPUTED_VALUE"""),0.525694444444444)</f>
        <v>0.52569444444444402</v>
      </c>
      <c r="R151" t="str">
        <f ca="1">IFERROR(__xludf.DUMMYFUNCTION("""COMPUTED_VALUE"""),"A")</f>
        <v>A</v>
      </c>
      <c r="S151" s="158">
        <f ca="1">IFERROR(__xludf.DUMMYFUNCTION("""COMPUTED_VALUE"""),0.563888888888888)</f>
        <v>0.563888888888888</v>
      </c>
      <c r="T151" t="str">
        <f ca="1">IFERROR(__xludf.DUMMYFUNCTION("""COMPUTED_VALUE"""),"A")</f>
        <v>A</v>
      </c>
      <c r="U151" t="str">
        <f ca="1">IFERROR(__xludf.DUMMYFUNCTION("""COMPUTED_VALUE"""),"")</f>
        <v/>
      </c>
      <c r="V151" t="str">
        <f ca="1">IFERROR(__xludf.DUMMYFUNCTION("""COMPUTED_VALUE"""),"")</f>
        <v/>
      </c>
      <c r="W151" t="str">
        <f ca="1">IFERROR(__xludf.DUMMYFUNCTION("""COMPUTED_VALUE"""),"")</f>
        <v/>
      </c>
      <c r="X151" t="str">
        <f ca="1">IFERROR(__xludf.DUMMYFUNCTION("""COMPUTED_VALUE"""),"")</f>
        <v/>
      </c>
      <c r="Y151" t="str">
        <f ca="1">IFERROR(__xludf.DUMMYFUNCTION("""COMPUTED_VALUE"""),"ZŠ")</f>
        <v>ZŠ</v>
      </c>
      <c r="Z151" s="158" t="b">
        <f ca="1">IFERROR(__xludf.DUMMYFUNCTION("""COMPUTED_VALUE"""),FALSE)</f>
        <v>0</v>
      </c>
      <c r="AA151" t="b">
        <f ca="1">IFERROR(__xludf.DUMMYFUNCTION("""COMPUTED_VALUE"""),FALSE)</f>
        <v>0</v>
      </c>
      <c r="AB151" t="b">
        <f ca="1">IFERROR(__xludf.DUMMYFUNCTION("""COMPUTED_VALUE"""),TRUE)</f>
        <v>1</v>
      </c>
      <c r="AC151" t="b">
        <f ca="1">IFERROR(__xludf.DUMMYFUNCTION("""COMPUTED_VALUE"""),TRUE)</f>
        <v>1</v>
      </c>
      <c r="AD151" t="b">
        <f ca="1">IFERROR(__xludf.DUMMYFUNCTION("""COMPUTED_VALUE"""),FALSE)</f>
        <v>0</v>
      </c>
      <c r="AE151" t="b">
        <f ca="1">IFERROR(__xludf.DUMMYFUNCTION("""COMPUTED_VALUE"""),FALSE)</f>
        <v>0</v>
      </c>
      <c r="AF151" t="b">
        <f ca="1">IFERROR(__xludf.DUMMYFUNCTION("""COMPUTED_VALUE"""),FALSE)</f>
        <v>0</v>
      </c>
      <c r="AG151" t="str">
        <f ca="1">IFERROR(__xludf.DUMMYFUNCTION("""COMPUTED_VALUE"""),"Dálkový medvěd (bear rescue), Sprint - LEGO (drag race - Lego)")</f>
        <v>Dálkový medvěd (bear rescue), Sprint - LEGO (drag race - Lego)</v>
      </c>
    </row>
    <row r="152" spans="1:33" ht="13.2">
      <c r="A152">
        <f ca="1">IFERROR(__xludf.DUMMYFUNCTION("""COMPUTED_VALUE"""),159)</f>
        <v>159</v>
      </c>
      <c r="B152" t="str">
        <f ca="1">IFERROR(__xludf.DUMMYFUNCTION("""COMPUTED_VALUE"""),"Bratislava")</f>
        <v>Bratislava</v>
      </c>
      <c r="C152" t="str">
        <f ca="1">IFERROR(__xludf.DUMMYFUNCTION("""COMPUTED_VALUE"""),"ZŠ Bratislava, Mudroňova")</f>
        <v>ZŠ Bratislava, Mudroňova</v>
      </c>
      <c r="D152" t="str">
        <f ca="1">IFERROR(__xludf.DUMMYFUNCTION("""COMPUTED_VALUE"""),"Zajkovia")</f>
        <v>Zajkovia</v>
      </c>
      <c r="E152" t="str">
        <f ca="1">IFERROR(__xludf.DUMMYFUNCTION("""COMPUTED_VALUE"""),"---")</f>
        <v>---</v>
      </c>
      <c r="F152" t="str">
        <f ca="1">IFERROR(__xludf.DUMMYFUNCTION("""COMPUTED_VALUE"""),"")</f>
        <v/>
      </c>
      <c r="G152" s="158" t="str">
        <f ca="1">IFERROR(__xludf.DUMMYFUNCTION("""COMPUTED_VALUE"""),"---")</f>
        <v>---</v>
      </c>
      <c r="H152" t="str">
        <f ca="1">IFERROR(__xludf.DUMMYFUNCTION("""COMPUTED_VALUE"""),"")</f>
        <v/>
      </c>
      <c r="I152" s="158" t="str">
        <f ca="1">IFERROR(__xludf.DUMMYFUNCTION("""COMPUTED_VALUE"""),"---")</f>
        <v>---</v>
      </c>
      <c r="J152" t="str">
        <f ca="1">IFERROR(__xludf.DUMMYFUNCTION("""COMPUTED_VALUE"""),"")</f>
        <v/>
      </c>
      <c r="K152" t="str">
        <f ca="1">IFERROR(__xludf.DUMMYFUNCTION("""COMPUTED_VALUE"""),"")</f>
        <v/>
      </c>
      <c r="L152" t="str">
        <f ca="1">IFERROR(__xludf.DUMMYFUNCTION("""COMPUTED_VALUE"""),"")</f>
        <v/>
      </c>
      <c r="M152" t="str">
        <f ca="1">IFERROR(__xludf.DUMMYFUNCTION("""COMPUTED_VALUE"""),"")</f>
        <v/>
      </c>
      <c r="N152" t="str">
        <f ca="1">IFERROR(__xludf.DUMMYFUNCTION("""COMPUTED_VALUE"""),"")</f>
        <v/>
      </c>
      <c r="O152" t="str">
        <f ca="1">IFERROR(__xludf.DUMMYFUNCTION("""COMPUTED_VALUE"""),"")</f>
        <v/>
      </c>
      <c r="P152" t="str">
        <f ca="1">IFERROR(__xludf.DUMMYFUNCTION("""COMPUTED_VALUE"""),"")</f>
        <v/>
      </c>
      <c r="Q152" t="str">
        <f ca="1">IFERROR(__xludf.DUMMYFUNCTION("""COMPUTED_VALUE"""),"")</f>
        <v/>
      </c>
      <c r="R152" t="str">
        <f ca="1">IFERROR(__xludf.DUMMYFUNCTION("""COMPUTED_VALUE"""),"")</f>
        <v/>
      </c>
      <c r="S152" t="str">
        <f ca="1">IFERROR(__xludf.DUMMYFUNCTION("""COMPUTED_VALUE"""),"")</f>
        <v/>
      </c>
      <c r="T152" t="str">
        <f ca="1">IFERROR(__xludf.DUMMYFUNCTION("""COMPUTED_VALUE"""),"")</f>
        <v/>
      </c>
      <c r="U152" s="158">
        <f ca="1">IFERROR(__xludf.DUMMYFUNCTION("""COMPUTED_VALUE"""),0.536805555555555)</f>
        <v>0.53680555555555498</v>
      </c>
      <c r="V152" t="str">
        <f ca="1">IFERROR(__xludf.DUMMYFUNCTION("""COMPUTED_VALUE"""),"A")</f>
        <v>A</v>
      </c>
      <c r="W152" s="158">
        <f ca="1">IFERROR(__xludf.DUMMYFUNCTION("""COMPUTED_VALUE"""),0.575)</f>
        <v>0.57499999999999996</v>
      </c>
      <c r="X152" t="str">
        <f ca="1">IFERROR(__xludf.DUMMYFUNCTION("""COMPUTED_VALUE"""),"A")</f>
        <v>A</v>
      </c>
      <c r="Y152" t="str">
        <f ca="1">IFERROR(__xludf.DUMMYFUNCTION("""COMPUTED_VALUE"""),"ZŠ")</f>
        <v>ZŠ</v>
      </c>
      <c r="Z152" s="158" t="b">
        <f ca="1">IFERROR(__xludf.DUMMYFUNCTION("""COMPUTED_VALUE"""),FALSE)</f>
        <v>0</v>
      </c>
      <c r="AA152" t="b">
        <f ca="1">IFERROR(__xludf.DUMMYFUNCTION("""COMPUTED_VALUE"""),FALSE)</f>
        <v>0</v>
      </c>
      <c r="AB152" t="b">
        <f ca="1">IFERROR(__xludf.DUMMYFUNCTION("""COMPUTED_VALUE"""),FALSE)</f>
        <v>0</v>
      </c>
      <c r="AC152" t="b">
        <f ca="1">IFERROR(__xludf.DUMMYFUNCTION("""COMPUTED_VALUE"""),FALSE)</f>
        <v>0</v>
      </c>
      <c r="AD152" t="b">
        <f ca="1">IFERROR(__xludf.DUMMYFUNCTION("""COMPUTED_VALUE"""),TRUE)</f>
        <v>1</v>
      </c>
      <c r="AE152" t="b">
        <f ca="1">IFERROR(__xludf.DUMMYFUNCTION("""COMPUTED_VALUE"""),FALSE)</f>
        <v>0</v>
      </c>
      <c r="AF152" t="b">
        <f ca="1">IFERROR(__xludf.DUMMYFUNCTION("""COMPUTED_VALUE"""),FALSE)</f>
        <v>0</v>
      </c>
      <c r="AG152" t="str">
        <f ca="1">IFERROR(__xludf.DUMMYFUNCTION("""COMPUTED_VALUE"""),"Sprint - NeLEGOvý (drag race - Non Lego)")</f>
        <v>Sprint - NeLEGOvý (drag race - Non Lego)</v>
      </c>
    </row>
    <row r="153" spans="1:33" ht="13.2">
      <c r="A153">
        <f ca="1">IFERROR(__xludf.DUMMYFUNCTION("""COMPUTED_VALUE"""),160)</f>
        <v>160</v>
      </c>
      <c r="B153" t="str">
        <f ca="1">IFERROR(__xludf.DUMMYFUNCTION("""COMPUTED_VALUE"""),"Lysice")</f>
        <v>Lysice</v>
      </c>
      <c r="C153" t="str">
        <f ca="1">IFERROR(__xludf.DUMMYFUNCTION("""COMPUTED_VALUE"""),"ZŠ Edvarda Beneše Lysice")</f>
        <v>ZŠ Edvarda Beneše Lysice</v>
      </c>
      <c r="D153" t="str">
        <f ca="1">IFERROR(__xludf.DUMMYFUNCTION("""COMPUTED_VALUE"""),"Holi Moli")</f>
        <v>Holi Moli</v>
      </c>
      <c r="E153" s="158">
        <f ca="1">IFERROR(__xludf.DUMMYFUNCTION("""COMPUTED_VALUE"""),0.450694444444444)</f>
        <v>0.45069444444444401</v>
      </c>
      <c r="F153" t="str">
        <f ca="1">IFERROR(__xludf.DUMMYFUNCTION("""COMPUTED_VALUE"""),"A")</f>
        <v>A</v>
      </c>
      <c r="G153" s="158">
        <f ca="1">IFERROR(__xludf.DUMMYFUNCTION("""COMPUTED_VALUE"""),0.520833333333333)</f>
        <v>0.52083333333333304</v>
      </c>
      <c r="H153" t="str">
        <f ca="1">IFERROR(__xludf.DUMMYFUNCTION("""COMPUTED_VALUE"""),"A")</f>
        <v>A</v>
      </c>
      <c r="I153" s="158">
        <f ca="1">IFERROR(__xludf.DUMMYFUNCTION("""COMPUTED_VALUE"""),0.595833333333333)</f>
        <v>0.59583333333333299</v>
      </c>
      <c r="J153" t="str">
        <f ca="1">IFERROR(__xludf.DUMMYFUNCTION("""COMPUTED_VALUE"""),"A")</f>
        <v>A</v>
      </c>
      <c r="K153" t="str">
        <f ca="1">IFERROR(__xludf.DUMMYFUNCTION("""COMPUTED_VALUE"""),"")</f>
        <v/>
      </c>
      <c r="L153" t="str">
        <f ca="1">IFERROR(__xludf.DUMMYFUNCTION("""COMPUTED_VALUE"""),"")</f>
        <v/>
      </c>
      <c r="M153" t="str">
        <f ca="1">IFERROR(__xludf.DUMMYFUNCTION("""COMPUTED_VALUE"""),"")</f>
        <v/>
      </c>
      <c r="N153" t="str">
        <f ca="1">IFERROR(__xludf.DUMMYFUNCTION("""COMPUTED_VALUE"""),"")</f>
        <v/>
      </c>
      <c r="O153" s="158">
        <f ca="1">IFERROR(__xludf.DUMMYFUNCTION("""COMPUTED_VALUE"""),0.508333333333333)</f>
        <v>0.50833333333333297</v>
      </c>
      <c r="P153" t="str">
        <f ca="1">IFERROR(__xludf.DUMMYFUNCTION("""COMPUTED_VALUE"""),"B")</f>
        <v>B</v>
      </c>
      <c r="Q153" s="158">
        <f ca="1">IFERROR(__xludf.DUMMYFUNCTION("""COMPUTED_VALUE"""),0.525694444444444)</f>
        <v>0.52569444444444402</v>
      </c>
      <c r="R153" t="str">
        <f ca="1">IFERROR(__xludf.DUMMYFUNCTION("""COMPUTED_VALUE"""),"B")</f>
        <v>B</v>
      </c>
      <c r="S153" s="158">
        <f ca="1">IFERROR(__xludf.DUMMYFUNCTION("""COMPUTED_VALUE"""),0.563888888888888)</f>
        <v>0.563888888888888</v>
      </c>
      <c r="T153" t="str">
        <f ca="1">IFERROR(__xludf.DUMMYFUNCTION("""COMPUTED_VALUE"""),"B")</f>
        <v>B</v>
      </c>
      <c r="U153" t="str">
        <f ca="1">IFERROR(__xludf.DUMMYFUNCTION("""COMPUTED_VALUE"""),"")</f>
        <v/>
      </c>
      <c r="V153" t="str">
        <f ca="1">IFERROR(__xludf.DUMMYFUNCTION("""COMPUTED_VALUE"""),"")</f>
        <v/>
      </c>
      <c r="W153" t="str">
        <f ca="1">IFERROR(__xludf.DUMMYFUNCTION("""COMPUTED_VALUE"""),"")</f>
        <v/>
      </c>
      <c r="X153" t="str">
        <f ca="1">IFERROR(__xludf.DUMMYFUNCTION("""COMPUTED_VALUE"""),"")</f>
        <v/>
      </c>
      <c r="Y153" t="str">
        <f ca="1">IFERROR(__xludf.DUMMYFUNCTION("""COMPUTED_VALUE"""),"ZŠ")</f>
        <v>ZŠ</v>
      </c>
      <c r="Z153" t="b">
        <f ca="1">IFERROR(__xludf.DUMMYFUNCTION("""COMPUTED_VALUE"""),TRUE)</f>
        <v>1</v>
      </c>
      <c r="AA153" t="b">
        <f ca="1">IFERROR(__xludf.DUMMYFUNCTION("""COMPUTED_VALUE"""),FALSE)</f>
        <v>0</v>
      </c>
      <c r="AB153" t="b">
        <f ca="1">IFERROR(__xludf.DUMMYFUNCTION("""COMPUTED_VALUE"""),TRUE)</f>
        <v>1</v>
      </c>
      <c r="AC153" t="b">
        <f ca="1">IFERROR(__xludf.DUMMYFUNCTION("""COMPUTED_VALUE"""),TRUE)</f>
        <v>1</v>
      </c>
      <c r="AD153" t="b">
        <f ca="1">IFERROR(__xludf.DUMMYFUNCTION("""COMPUTED_VALUE"""),FALSE)</f>
        <v>0</v>
      </c>
      <c r="AE153" t="b">
        <f ca="1">IFERROR(__xludf.DUMMYFUNCTION("""COMPUTED_VALUE"""),FALSE)</f>
        <v>0</v>
      </c>
      <c r="AF153" t="b">
        <f ca="1">IFERROR(__xludf.DUMMYFUNCTION("""COMPUTED_VALUE"""),FALSE)</f>
        <v>0</v>
      </c>
      <c r="AG153" t="str">
        <f ca="1">IFERROR(__xludf.DUMMYFUNCTION("""COMPUTED_VALUE"""),"Čára (line follower), Dálkový medvěd (bear rescue), Sprint - LEGO (drag race - Lego)")</f>
        <v>Čára (line follower), Dálkový medvěd (bear rescue), Sprint - LEGO (drag race - Lego)</v>
      </c>
    </row>
    <row r="154" spans="1:33" ht="13.2">
      <c r="A154">
        <f ca="1">IFERROR(__xludf.DUMMYFUNCTION("""COMPUTED_VALUE"""),161)</f>
        <v>161</v>
      </c>
      <c r="B154" t="str">
        <f ca="1">IFERROR(__xludf.DUMMYFUNCTION("""COMPUTED_VALUE"""),"Hustopeče")</f>
        <v>Hustopeče</v>
      </c>
      <c r="C154" t="str">
        <f ca="1">IFERROR(__xludf.DUMMYFUNCTION("""COMPUTED_VALUE"""),"ZŠ Hustopeče, Komenského")</f>
        <v>ZŠ Hustopeče, Komenského</v>
      </c>
      <c r="D154" t="str">
        <f ca="1">IFERROR(__xludf.DUMMYFUNCTION("""COMPUTED_VALUE"""),"Robokop")</f>
        <v>Robokop</v>
      </c>
      <c r="E154" s="158">
        <f ca="1">IFERROR(__xludf.DUMMYFUNCTION("""COMPUTED_VALUE"""),0.453472222222222)</f>
        <v>0.453472222222222</v>
      </c>
      <c r="F154" t="str">
        <f ca="1">IFERROR(__xludf.DUMMYFUNCTION("""COMPUTED_VALUE"""),"B")</f>
        <v>B</v>
      </c>
      <c r="G154" s="158">
        <f ca="1">IFERROR(__xludf.DUMMYFUNCTION("""COMPUTED_VALUE"""),0.523611111111111)</f>
        <v>0.52361111111111103</v>
      </c>
      <c r="H154" t="str">
        <f ca="1">IFERROR(__xludf.DUMMYFUNCTION("""COMPUTED_VALUE"""),"B")</f>
        <v>B</v>
      </c>
      <c r="I154" s="158">
        <f ca="1">IFERROR(__xludf.DUMMYFUNCTION("""COMPUTED_VALUE"""),0.598611111111111)</f>
        <v>0.59861111111111098</v>
      </c>
      <c r="J154" t="str">
        <f ca="1">IFERROR(__xludf.DUMMYFUNCTION("""COMPUTED_VALUE"""),"B")</f>
        <v>B</v>
      </c>
      <c r="K154" t="str">
        <f ca="1">IFERROR(__xludf.DUMMYFUNCTION("""COMPUTED_VALUE"""),"")</f>
        <v/>
      </c>
      <c r="L154" t="str">
        <f ca="1">IFERROR(__xludf.DUMMYFUNCTION("""COMPUTED_VALUE"""),"")</f>
        <v/>
      </c>
      <c r="M154" t="str">
        <f ca="1">IFERROR(__xludf.DUMMYFUNCTION("""COMPUTED_VALUE"""),"")</f>
        <v/>
      </c>
      <c r="N154" t="str">
        <f ca="1">IFERROR(__xludf.DUMMYFUNCTION("""COMPUTED_VALUE"""),"")</f>
        <v/>
      </c>
      <c r="O154" s="158">
        <f ca="1">IFERROR(__xludf.DUMMYFUNCTION("""COMPUTED_VALUE"""),0.509722222222222)</f>
        <v>0.50972222222222197</v>
      </c>
      <c r="P154" t="str">
        <f ca="1">IFERROR(__xludf.DUMMYFUNCTION("""COMPUTED_VALUE"""),"A")</f>
        <v>A</v>
      </c>
      <c r="Q154" s="158">
        <f ca="1">IFERROR(__xludf.DUMMYFUNCTION("""COMPUTED_VALUE"""),0.526388888888888)</f>
        <v>0.52638888888888802</v>
      </c>
      <c r="R154" t="str">
        <f ca="1">IFERROR(__xludf.DUMMYFUNCTION("""COMPUTED_VALUE"""),"A")</f>
        <v>A</v>
      </c>
      <c r="S154" s="158">
        <f ca="1">IFERROR(__xludf.DUMMYFUNCTION("""COMPUTED_VALUE"""),0.564583333333333)</f>
        <v>0.56458333333333299</v>
      </c>
      <c r="T154" t="str">
        <f ca="1">IFERROR(__xludf.DUMMYFUNCTION("""COMPUTED_VALUE"""),"A")</f>
        <v>A</v>
      </c>
      <c r="U154" t="str">
        <f ca="1">IFERROR(__xludf.DUMMYFUNCTION("""COMPUTED_VALUE"""),"")</f>
        <v/>
      </c>
      <c r="V154" t="str">
        <f ca="1">IFERROR(__xludf.DUMMYFUNCTION("""COMPUTED_VALUE"""),"")</f>
        <v/>
      </c>
      <c r="W154" t="str">
        <f ca="1">IFERROR(__xludf.DUMMYFUNCTION("""COMPUTED_VALUE"""),"")</f>
        <v/>
      </c>
      <c r="X154" t="str">
        <f ca="1">IFERROR(__xludf.DUMMYFUNCTION("""COMPUTED_VALUE"""),"")</f>
        <v/>
      </c>
      <c r="Y154" t="str">
        <f ca="1">IFERROR(__xludf.DUMMYFUNCTION("""COMPUTED_VALUE"""),"ZŠ")</f>
        <v>ZŠ</v>
      </c>
      <c r="Z154" t="b">
        <f ca="1">IFERROR(__xludf.DUMMYFUNCTION("""COMPUTED_VALUE"""),TRUE)</f>
        <v>1</v>
      </c>
      <c r="AA154" t="b">
        <f ca="1">IFERROR(__xludf.DUMMYFUNCTION("""COMPUTED_VALUE"""),FALSE)</f>
        <v>0</v>
      </c>
      <c r="AB154" t="b">
        <f ca="1">IFERROR(__xludf.DUMMYFUNCTION("""COMPUTED_VALUE"""),TRUE)</f>
        <v>1</v>
      </c>
      <c r="AC154" t="b">
        <f ca="1">IFERROR(__xludf.DUMMYFUNCTION("""COMPUTED_VALUE"""),TRUE)</f>
        <v>1</v>
      </c>
      <c r="AD154" t="b">
        <f ca="1">IFERROR(__xludf.DUMMYFUNCTION("""COMPUTED_VALUE"""),FALSE)</f>
        <v>0</v>
      </c>
      <c r="AE154" t="b">
        <f ca="1">IFERROR(__xludf.DUMMYFUNCTION("""COMPUTED_VALUE"""),FALSE)</f>
        <v>0</v>
      </c>
      <c r="AF154" t="b">
        <f ca="1">IFERROR(__xludf.DUMMYFUNCTION("""COMPUTED_VALUE"""),FALSE)</f>
        <v>0</v>
      </c>
      <c r="AG154" t="str">
        <f ca="1">IFERROR(__xludf.DUMMYFUNCTION("""COMPUTED_VALUE"""),"Čára (line follower), Dálkový medvěd (bear rescue), Sprint - LEGO (drag race - Lego)")</f>
        <v>Čára (line follower), Dálkový medvěd (bear rescue), Sprint - LEGO (drag race - Lego)</v>
      </c>
    </row>
    <row r="155" spans="1:33" ht="13.2">
      <c r="A155">
        <f ca="1">IFERROR(__xludf.DUMMYFUNCTION("""COMPUTED_VALUE"""),162)</f>
        <v>162</v>
      </c>
      <c r="B155" t="str">
        <f ca="1">IFERROR(__xludf.DUMMYFUNCTION("""COMPUTED_VALUE"""),"Hustopeče")</f>
        <v>Hustopeče</v>
      </c>
      <c r="C155" t="str">
        <f ca="1">IFERROR(__xludf.DUMMYFUNCTION("""COMPUTED_VALUE"""),"ZŠ Hustopeče, Komenského")</f>
        <v>ZŠ Hustopeče, Komenského</v>
      </c>
      <c r="D155" t="str">
        <f ca="1">IFERROR(__xludf.DUMMYFUNCTION("""COMPUTED_VALUE"""),"Pejs klan")</f>
        <v>Pejs klan</v>
      </c>
      <c r="E155" s="158">
        <f ca="1">IFERROR(__xludf.DUMMYFUNCTION("""COMPUTED_VALUE"""),0.4625)</f>
        <v>0.46250000000000002</v>
      </c>
      <c r="F155" t="str">
        <f ca="1">IFERROR(__xludf.DUMMYFUNCTION("""COMPUTED_VALUE"""),"A")</f>
        <v>A</v>
      </c>
      <c r="G155" s="158">
        <f ca="1">IFERROR(__xludf.DUMMYFUNCTION("""COMPUTED_VALUE"""),0.531944444444444)</f>
        <v>0.531944444444444</v>
      </c>
      <c r="H155" t="str">
        <f ca="1">IFERROR(__xludf.DUMMYFUNCTION("""COMPUTED_VALUE"""),"A")</f>
        <v>A</v>
      </c>
      <c r="I155" s="158">
        <f ca="1">IFERROR(__xludf.DUMMYFUNCTION("""COMPUTED_VALUE"""),0.606944444444444)</f>
        <v>0.60694444444444395</v>
      </c>
      <c r="J155" t="str">
        <f ca="1">IFERROR(__xludf.DUMMYFUNCTION("""COMPUTED_VALUE"""),"A")</f>
        <v>A</v>
      </c>
      <c r="K155" t="str">
        <f ca="1">IFERROR(__xludf.DUMMYFUNCTION("""COMPUTED_VALUE"""),"")</f>
        <v/>
      </c>
      <c r="L155" t="str">
        <f ca="1">IFERROR(__xludf.DUMMYFUNCTION("""COMPUTED_VALUE"""),"")</f>
        <v/>
      </c>
      <c r="M155" t="str">
        <f ca="1">IFERROR(__xludf.DUMMYFUNCTION("""COMPUTED_VALUE"""),"")</f>
        <v/>
      </c>
      <c r="N155" t="str">
        <f ca="1">IFERROR(__xludf.DUMMYFUNCTION("""COMPUTED_VALUE"""),"")</f>
        <v/>
      </c>
      <c r="O155" t="str">
        <f ca="1">IFERROR(__xludf.DUMMYFUNCTION("""COMPUTED_VALUE"""),"")</f>
        <v/>
      </c>
      <c r="P155" t="str">
        <f ca="1">IFERROR(__xludf.DUMMYFUNCTION("""COMPUTED_VALUE"""),"")</f>
        <v/>
      </c>
      <c r="Q155" t="str">
        <f ca="1">IFERROR(__xludf.DUMMYFUNCTION("""COMPUTED_VALUE"""),"")</f>
        <v/>
      </c>
      <c r="R155" t="str">
        <f ca="1">IFERROR(__xludf.DUMMYFUNCTION("""COMPUTED_VALUE"""),"")</f>
        <v/>
      </c>
      <c r="S155" t="str">
        <f ca="1">IFERROR(__xludf.DUMMYFUNCTION("""COMPUTED_VALUE"""),"")</f>
        <v/>
      </c>
      <c r="T155" t="str">
        <f ca="1">IFERROR(__xludf.DUMMYFUNCTION("""COMPUTED_VALUE"""),"")</f>
        <v/>
      </c>
      <c r="U155" t="str">
        <f ca="1">IFERROR(__xludf.DUMMYFUNCTION("""COMPUTED_VALUE"""),"")</f>
        <v/>
      </c>
      <c r="V155" t="str">
        <f ca="1">IFERROR(__xludf.DUMMYFUNCTION("""COMPUTED_VALUE"""),"")</f>
        <v/>
      </c>
      <c r="W155" t="str">
        <f ca="1">IFERROR(__xludf.DUMMYFUNCTION("""COMPUTED_VALUE"""),"")</f>
        <v/>
      </c>
      <c r="X155" t="str">
        <f ca="1">IFERROR(__xludf.DUMMYFUNCTION("""COMPUTED_VALUE"""),"")</f>
        <v/>
      </c>
      <c r="Y155" t="str">
        <f ca="1">IFERROR(__xludf.DUMMYFUNCTION("""COMPUTED_VALUE"""),"ZŠ")</f>
        <v>ZŠ</v>
      </c>
      <c r="Z155" t="b">
        <f ca="1">IFERROR(__xludf.DUMMYFUNCTION("""COMPUTED_VALUE"""),TRUE)</f>
        <v>1</v>
      </c>
      <c r="AA155" t="b">
        <f ca="1">IFERROR(__xludf.DUMMYFUNCTION("""COMPUTED_VALUE"""),FALSE)</f>
        <v>0</v>
      </c>
      <c r="AB155" t="b">
        <f ca="1">IFERROR(__xludf.DUMMYFUNCTION("""COMPUTED_VALUE"""),FALSE)</f>
        <v>0</v>
      </c>
      <c r="AC155" t="b">
        <f ca="1">IFERROR(__xludf.DUMMYFUNCTION("""COMPUTED_VALUE"""),FALSE)</f>
        <v>0</v>
      </c>
      <c r="AD155" t="b">
        <f ca="1">IFERROR(__xludf.DUMMYFUNCTION("""COMPUTED_VALUE"""),FALSE)</f>
        <v>0</v>
      </c>
      <c r="AE155" t="b">
        <f ca="1">IFERROR(__xludf.DUMMYFUNCTION("""COMPUTED_VALUE"""),FALSE)</f>
        <v>0</v>
      </c>
      <c r="AF155" t="b">
        <f ca="1">IFERROR(__xludf.DUMMYFUNCTION("""COMPUTED_VALUE"""),FALSE)</f>
        <v>0</v>
      </c>
      <c r="AG155" t="str">
        <f ca="1">IFERROR(__xludf.DUMMYFUNCTION("""COMPUTED_VALUE"""),"Čára (line follower)")</f>
        <v>Čára (line follower)</v>
      </c>
    </row>
    <row r="156" spans="1:33" ht="13.2">
      <c r="A156">
        <f ca="1">IFERROR(__xludf.DUMMYFUNCTION("""COMPUTED_VALUE"""),163)</f>
        <v>163</v>
      </c>
      <c r="B156" t="str">
        <f ca="1">IFERROR(__xludf.DUMMYFUNCTION("""COMPUTED_VALUE"""),"Opole (PL)")</f>
        <v>Opole (PL)</v>
      </c>
      <c r="C156" t="str">
        <f ca="1">IFERROR(__xludf.DUMMYFUNCTION("""COMPUTED_VALUE"""),"PSP Polska Nowa Wieś")</f>
        <v>PSP Polska Nowa Wieś</v>
      </c>
      <c r="D156" t="str">
        <f ca="1">IFERROR(__xludf.DUMMYFUNCTION("""COMPUTED_VALUE"""),"Bunlab Team I")</f>
        <v>Bunlab Team I</v>
      </c>
      <c r="E156" s="158">
        <f ca="1">IFERROR(__xludf.DUMMYFUNCTION("""COMPUTED_VALUE"""),0.452083333333333)</f>
        <v>0.452083333333333</v>
      </c>
      <c r="F156" t="str">
        <f ca="1">IFERROR(__xludf.DUMMYFUNCTION("""COMPUTED_VALUE"""),"A")</f>
        <v>A</v>
      </c>
      <c r="G156" s="158">
        <f ca="1">IFERROR(__xludf.DUMMYFUNCTION("""COMPUTED_VALUE"""),0.522222222222222)</f>
        <v>0.52222222222222203</v>
      </c>
      <c r="H156" t="str">
        <f ca="1">IFERROR(__xludf.DUMMYFUNCTION("""COMPUTED_VALUE"""),"A")</f>
        <v>A</v>
      </c>
      <c r="I156" s="158">
        <f ca="1">IFERROR(__xludf.DUMMYFUNCTION("""COMPUTED_VALUE"""),0.597222222222222)</f>
        <v>0.59722222222222199</v>
      </c>
      <c r="J156" t="str">
        <f ca="1">IFERROR(__xludf.DUMMYFUNCTION("""COMPUTED_VALUE"""),"A")</f>
        <v>A</v>
      </c>
      <c r="K156" t="str">
        <f ca="1">IFERROR(__xludf.DUMMYFUNCTION("""COMPUTED_VALUE"""),"")</f>
        <v/>
      </c>
      <c r="L156" t="str">
        <f ca="1">IFERROR(__xludf.DUMMYFUNCTION("""COMPUTED_VALUE"""),"")</f>
        <v/>
      </c>
      <c r="M156" t="str">
        <f ca="1">IFERROR(__xludf.DUMMYFUNCTION("""COMPUTED_VALUE"""),"")</f>
        <v/>
      </c>
      <c r="N156" t="str">
        <f ca="1">IFERROR(__xludf.DUMMYFUNCTION("""COMPUTED_VALUE"""),"")</f>
        <v/>
      </c>
      <c r="O156" s="158">
        <f ca="1">IFERROR(__xludf.DUMMYFUNCTION("""COMPUTED_VALUE"""),0.509722222222222)</f>
        <v>0.50972222222222197</v>
      </c>
      <c r="P156" t="str">
        <f ca="1">IFERROR(__xludf.DUMMYFUNCTION("""COMPUTED_VALUE"""),"B")</f>
        <v>B</v>
      </c>
      <c r="Q156" t="str">
        <f ca="1">IFERROR(__xludf.DUMMYFUNCTION("""COMPUTED_VALUE"""),"")</f>
        <v/>
      </c>
      <c r="R156" t="str">
        <f ca="1">IFERROR(__xludf.DUMMYFUNCTION("""COMPUTED_VALUE"""),"")</f>
        <v/>
      </c>
      <c r="S156" t="str">
        <f ca="1">IFERROR(__xludf.DUMMYFUNCTION("""COMPUTED_VALUE"""),"")</f>
        <v/>
      </c>
      <c r="T156" t="str">
        <f ca="1">IFERROR(__xludf.DUMMYFUNCTION("""COMPUTED_VALUE"""),"")</f>
        <v/>
      </c>
      <c r="U156" t="str">
        <f ca="1">IFERROR(__xludf.DUMMYFUNCTION("""COMPUTED_VALUE"""),"")</f>
        <v/>
      </c>
      <c r="V156" t="str">
        <f ca="1">IFERROR(__xludf.DUMMYFUNCTION("""COMPUTED_VALUE"""),"")</f>
        <v/>
      </c>
      <c r="W156" t="str">
        <f ca="1">IFERROR(__xludf.DUMMYFUNCTION("""COMPUTED_VALUE"""),"")</f>
        <v/>
      </c>
      <c r="X156" t="str">
        <f ca="1">IFERROR(__xludf.DUMMYFUNCTION("""COMPUTED_VALUE"""),"")</f>
        <v/>
      </c>
      <c r="Y156" t="str">
        <f ca="1">IFERROR(__xludf.DUMMYFUNCTION("""COMPUTED_VALUE"""),"ZŠ (6-15 years)")</f>
        <v>ZŠ (6-15 years)</v>
      </c>
      <c r="Z156" t="b">
        <f ca="1">IFERROR(__xludf.DUMMYFUNCTION("""COMPUTED_VALUE"""),TRUE)</f>
        <v>1</v>
      </c>
      <c r="AA156" t="b">
        <f ca="1">IFERROR(__xludf.DUMMYFUNCTION("""COMPUTED_VALUE"""),FALSE)</f>
        <v>0</v>
      </c>
      <c r="AB156" t="b">
        <f ca="1">IFERROR(__xludf.DUMMYFUNCTION("""COMPUTED_VALUE"""),TRUE)</f>
        <v>1</v>
      </c>
      <c r="AC156" t="b">
        <f ca="1">IFERROR(__xludf.DUMMYFUNCTION("""COMPUTED_VALUE"""),FALSE)</f>
        <v>0</v>
      </c>
      <c r="AD156" t="b">
        <f ca="1">IFERROR(__xludf.DUMMYFUNCTION("""COMPUTED_VALUE"""),FALSE)</f>
        <v>0</v>
      </c>
      <c r="AE156" t="b">
        <f ca="1">IFERROR(__xludf.DUMMYFUNCTION("""COMPUTED_VALUE"""),FALSE)</f>
        <v>0</v>
      </c>
      <c r="AF156" t="b">
        <f ca="1">IFERROR(__xludf.DUMMYFUNCTION("""COMPUTED_VALUE"""),FALSE)</f>
        <v>0</v>
      </c>
      <c r="AG156" t="str">
        <f ca="1">IFERROR(__xludf.DUMMYFUNCTION("""COMPUTED_VALUE"""),"Čára (line follower), Dálkový medvěd (bear rescue)")</f>
        <v>Čára (line follower), Dálkový medvěd (bear rescue)</v>
      </c>
    </row>
    <row r="157" spans="1:33" ht="13.2">
      <c r="A157">
        <f ca="1">IFERROR(__xludf.DUMMYFUNCTION("""COMPUTED_VALUE"""),164)</f>
        <v>164</v>
      </c>
      <c r="B157" t="str">
        <f ca="1">IFERROR(__xludf.DUMMYFUNCTION("""COMPUTED_VALUE"""),"Opole (PL)")</f>
        <v>Opole (PL)</v>
      </c>
      <c r="C157" t="str">
        <f ca="1">IFERROR(__xludf.DUMMYFUNCTION("""COMPUTED_VALUE"""),"PSP Polska Nowa Wieś")</f>
        <v>PSP Polska Nowa Wieś</v>
      </c>
      <c r="D157" t="str">
        <f ca="1">IFERROR(__xludf.DUMMYFUNCTION("""COMPUTED_VALUE"""),"Bunlab Team II")</f>
        <v>Bunlab Team II</v>
      </c>
      <c r="E157" t="str">
        <f ca="1">IFERROR(__xludf.DUMMYFUNCTION("""COMPUTED_VALUE"""),"---")</f>
        <v>---</v>
      </c>
      <c r="F157" t="str">
        <f ca="1">IFERROR(__xludf.DUMMYFUNCTION("""COMPUTED_VALUE"""),"")</f>
        <v/>
      </c>
      <c r="G157" s="158" t="str">
        <f ca="1">IFERROR(__xludf.DUMMYFUNCTION("""COMPUTED_VALUE"""),"---")</f>
        <v>---</v>
      </c>
      <c r="H157" t="str">
        <f ca="1">IFERROR(__xludf.DUMMYFUNCTION("""COMPUTED_VALUE"""),"")</f>
        <v/>
      </c>
      <c r="I157" s="158" t="str">
        <f ca="1">IFERROR(__xludf.DUMMYFUNCTION("""COMPUTED_VALUE"""),"---")</f>
        <v>---</v>
      </c>
      <c r="J157" t="str">
        <f ca="1">IFERROR(__xludf.DUMMYFUNCTION("""COMPUTED_VALUE"""),"")</f>
        <v/>
      </c>
      <c r="K157" s="158">
        <f ca="1">IFERROR(__xludf.DUMMYFUNCTION("""COMPUTED_VALUE"""),0.470138888888888)</f>
        <v>0.470138888888888</v>
      </c>
      <c r="L157" t="str">
        <f ca="1">IFERROR(__xludf.DUMMYFUNCTION("""COMPUTED_VALUE"""),"A")</f>
        <v>A</v>
      </c>
      <c r="M157" s="158">
        <f ca="1">IFERROR(__xludf.DUMMYFUNCTION("""COMPUTED_VALUE"""),0.560416666666666)</f>
        <v>0.56041666666666601</v>
      </c>
      <c r="N157" t="str">
        <f ca="1">IFERROR(__xludf.DUMMYFUNCTION("""COMPUTED_VALUE"""),"A")</f>
        <v>A</v>
      </c>
      <c r="O157" s="158">
        <f ca="1">IFERROR(__xludf.DUMMYFUNCTION("""COMPUTED_VALUE"""),0.511111111111111)</f>
        <v>0.51111111111111096</v>
      </c>
      <c r="P157" t="str">
        <f ca="1">IFERROR(__xludf.DUMMYFUNCTION("""COMPUTED_VALUE"""),"A")</f>
        <v>A</v>
      </c>
      <c r="Q157" t="str">
        <f ca="1">IFERROR(__xludf.DUMMYFUNCTION("""COMPUTED_VALUE"""),"")</f>
        <v/>
      </c>
      <c r="R157" t="str">
        <f ca="1">IFERROR(__xludf.DUMMYFUNCTION("""COMPUTED_VALUE"""),"")</f>
        <v/>
      </c>
      <c r="S157" t="str">
        <f ca="1">IFERROR(__xludf.DUMMYFUNCTION("""COMPUTED_VALUE"""),"")</f>
        <v/>
      </c>
      <c r="T157" t="str">
        <f ca="1">IFERROR(__xludf.DUMMYFUNCTION("""COMPUTED_VALUE"""),"")</f>
        <v/>
      </c>
      <c r="U157" t="str">
        <f ca="1">IFERROR(__xludf.DUMMYFUNCTION("""COMPUTED_VALUE"""),"")</f>
        <v/>
      </c>
      <c r="V157" t="str">
        <f ca="1">IFERROR(__xludf.DUMMYFUNCTION("""COMPUTED_VALUE"""),"")</f>
        <v/>
      </c>
      <c r="W157" t="str">
        <f ca="1">IFERROR(__xludf.DUMMYFUNCTION("""COMPUTED_VALUE"""),"")</f>
        <v/>
      </c>
      <c r="X157" t="str">
        <f ca="1">IFERROR(__xludf.DUMMYFUNCTION("""COMPUTED_VALUE"""),"")</f>
        <v/>
      </c>
      <c r="Y157" t="str">
        <f ca="1">IFERROR(__xludf.DUMMYFUNCTION("""COMPUTED_VALUE"""),"ZŠ (6-15 years)")</f>
        <v>ZŠ (6-15 years)</v>
      </c>
      <c r="Z157" s="158" t="b">
        <f ca="1">IFERROR(__xludf.DUMMYFUNCTION("""COMPUTED_VALUE"""),FALSE)</f>
        <v>0</v>
      </c>
      <c r="AA157" t="b">
        <f ca="1">IFERROR(__xludf.DUMMYFUNCTION("""COMPUTED_VALUE"""),TRUE)</f>
        <v>1</v>
      </c>
      <c r="AB157" t="b">
        <f ca="1">IFERROR(__xludf.DUMMYFUNCTION("""COMPUTED_VALUE"""),TRUE)</f>
        <v>1</v>
      </c>
      <c r="AC157" t="b">
        <f ca="1">IFERROR(__xludf.DUMMYFUNCTION("""COMPUTED_VALUE"""),FALSE)</f>
        <v>0</v>
      </c>
      <c r="AD157" t="b">
        <f ca="1">IFERROR(__xludf.DUMMYFUNCTION("""COMPUTED_VALUE"""),FALSE)</f>
        <v>0</v>
      </c>
      <c r="AE157" t="b">
        <f ca="1">IFERROR(__xludf.DUMMYFUNCTION("""COMPUTED_VALUE"""),FALSE)</f>
        <v>0</v>
      </c>
      <c r="AF157" t="b">
        <f ca="1">IFERROR(__xludf.DUMMYFUNCTION("""COMPUTED_VALUE"""),FALSE)</f>
        <v>0</v>
      </c>
      <c r="AG157" t="str">
        <f ca="1">IFERROR(__xludf.DUMMYFUNCTION("""COMPUTED_VALUE"""),"Dálkový medvěd (bear rescue), Autonomní medvěd (bear rescue advance)")</f>
        <v>Dálkový medvěd (bear rescue), Autonomní medvěd (bear rescue advance)</v>
      </c>
    </row>
    <row r="158" spans="1:33" ht="13.2">
      <c r="A158">
        <f ca="1">IFERROR(__xludf.DUMMYFUNCTION("""COMPUTED_VALUE"""),165)</f>
        <v>165</v>
      </c>
      <c r="B158" t="str">
        <f ca="1">IFERROR(__xludf.DUMMYFUNCTION("""COMPUTED_VALUE"""),"Opole (PL)")</f>
        <v>Opole (PL)</v>
      </c>
      <c r="C158" t="str">
        <f ca="1">IFERROR(__xludf.DUMMYFUNCTION("""COMPUTED_VALUE"""),"TAK im. Ireny Sendlerowej Opole")</f>
        <v>TAK im. Ireny Sendlerowej Opole</v>
      </c>
      <c r="D158" t="str">
        <f ca="1">IFERROR(__xludf.DUMMYFUNCTION("""COMPUTED_VALUE"""),"Bunlab Team III")</f>
        <v>Bunlab Team III</v>
      </c>
      <c r="E158" s="158">
        <f ca="1">IFERROR(__xludf.DUMMYFUNCTION("""COMPUTED_VALUE"""),0.454861111111111)</f>
        <v>0.45486111111111099</v>
      </c>
      <c r="F158" t="str">
        <f ca="1">IFERROR(__xludf.DUMMYFUNCTION("""COMPUTED_VALUE"""),"B")</f>
        <v>B</v>
      </c>
      <c r="G158" s="158">
        <f ca="1">IFERROR(__xludf.DUMMYFUNCTION("""COMPUTED_VALUE"""),0.525)</f>
        <v>0.52500000000000002</v>
      </c>
      <c r="H158" t="str">
        <f ca="1">IFERROR(__xludf.DUMMYFUNCTION("""COMPUTED_VALUE"""),"B")</f>
        <v>B</v>
      </c>
      <c r="I158" s="158">
        <f ca="1">IFERROR(__xludf.DUMMYFUNCTION("""COMPUTED_VALUE"""),0.6)</f>
        <v>0.6</v>
      </c>
      <c r="J158" t="str">
        <f ca="1">IFERROR(__xludf.DUMMYFUNCTION("""COMPUTED_VALUE"""),"B")</f>
        <v>B</v>
      </c>
      <c r="K158" t="str">
        <f ca="1">IFERROR(__xludf.DUMMYFUNCTION("""COMPUTED_VALUE"""),"")</f>
        <v/>
      </c>
      <c r="L158" t="str">
        <f ca="1">IFERROR(__xludf.DUMMYFUNCTION("""COMPUTED_VALUE"""),"")</f>
        <v/>
      </c>
      <c r="M158" t="str">
        <f ca="1">IFERROR(__xludf.DUMMYFUNCTION("""COMPUTED_VALUE"""),"")</f>
        <v/>
      </c>
      <c r="N158" t="str">
        <f ca="1">IFERROR(__xludf.DUMMYFUNCTION("""COMPUTED_VALUE"""),"")</f>
        <v/>
      </c>
      <c r="O158" s="158">
        <f ca="1">IFERROR(__xludf.DUMMYFUNCTION("""COMPUTED_VALUE"""),0.511111111111111)</f>
        <v>0.51111111111111096</v>
      </c>
      <c r="P158" t="str">
        <f ca="1">IFERROR(__xludf.DUMMYFUNCTION("""COMPUTED_VALUE"""),"B")</f>
        <v>B</v>
      </c>
      <c r="Q158" t="str">
        <f ca="1">IFERROR(__xludf.DUMMYFUNCTION("""COMPUTED_VALUE"""),"")</f>
        <v/>
      </c>
      <c r="R158" t="str">
        <f ca="1">IFERROR(__xludf.DUMMYFUNCTION("""COMPUTED_VALUE"""),"")</f>
        <v/>
      </c>
      <c r="S158" t="str">
        <f ca="1">IFERROR(__xludf.DUMMYFUNCTION("""COMPUTED_VALUE"""),"")</f>
        <v/>
      </c>
      <c r="T158" t="str">
        <f ca="1">IFERROR(__xludf.DUMMYFUNCTION("""COMPUTED_VALUE"""),"")</f>
        <v/>
      </c>
      <c r="U158" t="str">
        <f ca="1">IFERROR(__xludf.DUMMYFUNCTION("""COMPUTED_VALUE"""),"")</f>
        <v/>
      </c>
      <c r="V158" t="str">
        <f ca="1">IFERROR(__xludf.DUMMYFUNCTION("""COMPUTED_VALUE"""),"")</f>
        <v/>
      </c>
      <c r="W158" t="str">
        <f ca="1">IFERROR(__xludf.DUMMYFUNCTION("""COMPUTED_VALUE"""),"")</f>
        <v/>
      </c>
      <c r="X158" t="str">
        <f ca="1">IFERROR(__xludf.DUMMYFUNCTION("""COMPUTED_VALUE"""),"")</f>
        <v/>
      </c>
      <c r="Y158" t="str">
        <f ca="1">IFERROR(__xludf.DUMMYFUNCTION("""COMPUTED_VALUE"""),"ZŠ (6-15 years)")</f>
        <v>ZŠ (6-15 years)</v>
      </c>
      <c r="Z158" t="b">
        <f ca="1">IFERROR(__xludf.DUMMYFUNCTION("""COMPUTED_VALUE"""),TRUE)</f>
        <v>1</v>
      </c>
      <c r="AA158" t="b">
        <f ca="1">IFERROR(__xludf.DUMMYFUNCTION("""COMPUTED_VALUE"""),FALSE)</f>
        <v>0</v>
      </c>
      <c r="AB158" t="b">
        <f ca="1">IFERROR(__xludf.DUMMYFUNCTION("""COMPUTED_VALUE"""),TRUE)</f>
        <v>1</v>
      </c>
      <c r="AC158" t="b">
        <f ca="1">IFERROR(__xludf.DUMMYFUNCTION("""COMPUTED_VALUE"""),FALSE)</f>
        <v>0</v>
      </c>
      <c r="AD158" t="b">
        <f ca="1">IFERROR(__xludf.DUMMYFUNCTION("""COMPUTED_VALUE"""),FALSE)</f>
        <v>0</v>
      </c>
      <c r="AE158" t="b">
        <f ca="1">IFERROR(__xludf.DUMMYFUNCTION("""COMPUTED_VALUE"""),FALSE)</f>
        <v>0</v>
      </c>
      <c r="AF158" t="b">
        <f ca="1">IFERROR(__xludf.DUMMYFUNCTION("""COMPUTED_VALUE"""),FALSE)</f>
        <v>0</v>
      </c>
      <c r="AG158" t="str">
        <f ca="1">IFERROR(__xludf.DUMMYFUNCTION("""COMPUTED_VALUE"""),"Čára (line follower), Dálkový medvěd (bear rescue)")</f>
        <v>Čára (line follower), Dálkový medvěd (bear rescue)</v>
      </c>
    </row>
    <row r="159" spans="1:33" ht="13.2">
      <c r="A159">
        <f ca="1">IFERROR(__xludf.DUMMYFUNCTION("""COMPUTED_VALUE"""),166)</f>
        <v>166</v>
      </c>
      <c r="B159" t="str">
        <f ca="1">IFERROR(__xludf.DUMMYFUNCTION("""COMPUTED_VALUE"""),"Opole (PL)")</f>
        <v>Opole (PL)</v>
      </c>
      <c r="C159" t="str">
        <f ca="1">IFERROR(__xludf.DUMMYFUNCTION("""COMPUTED_VALUE"""),"LO Nr 1 Opole")</f>
        <v>LO Nr 1 Opole</v>
      </c>
      <c r="D159" t="str">
        <f ca="1">IFERROR(__xludf.DUMMYFUNCTION("""COMPUTED_VALUE"""),"Bunlab Team IV")</f>
        <v>Bunlab Team IV</v>
      </c>
      <c r="E159" t="str">
        <f ca="1">IFERROR(__xludf.DUMMYFUNCTION("""COMPUTED_VALUE"""),"---")</f>
        <v>---</v>
      </c>
      <c r="F159" t="str">
        <f ca="1">IFERROR(__xludf.DUMMYFUNCTION("""COMPUTED_VALUE"""),"")</f>
        <v/>
      </c>
      <c r="G159" s="158" t="str">
        <f ca="1">IFERROR(__xludf.DUMMYFUNCTION("""COMPUTED_VALUE"""),"---")</f>
        <v>---</v>
      </c>
      <c r="H159" t="str">
        <f ca="1">IFERROR(__xludf.DUMMYFUNCTION("""COMPUTED_VALUE"""),"")</f>
        <v/>
      </c>
      <c r="I159" s="158" t="str">
        <f ca="1">IFERROR(__xludf.DUMMYFUNCTION("""COMPUTED_VALUE"""),"---")</f>
        <v>---</v>
      </c>
      <c r="J159" t="str">
        <f ca="1">IFERROR(__xludf.DUMMYFUNCTION("""COMPUTED_VALUE"""),"")</f>
        <v/>
      </c>
      <c r="K159" s="158">
        <f ca="1">IFERROR(__xludf.DUMMYFUNCTION("""COMPUTED_VALUE"""),0.470138888888888)</f>
        <v>0.470138888888888</v>
      </c>
      <c r="L159" t="str">
        <f ca="1">IFERROR(__xludf.DUMMYFUNCTION("""COMPUTED_VALUE"""),"B")</f>
        <v>B</v>
      </c>
      <c r="M159" s="158">
        <f ca="1">IFERROR(__xludf.DUMMYFUNCTION("""COMPUTED_VALUE"""),0.560416666666666)</f>
        <v>0.56041666666666601</v>
      </c>
      <c r="N159" t="str">
        <f ca="1">IFERROR(__xludf.DUMMYFUNCTION("""COMPUTED_VALUE"""),"B")</f>
        <v>B</v>
      </c>
      <c r="O159" s="158">
        <f ca="1">IFERROR(__xludf.DUMMYFUNCTION("""COMPUTED_VALUE"""),0.5125)</f>
        <v>0.51249999999999996</v>
      </c>
      <c r="P159" t="str">
        <f ca="1">IFERROR(__xludf.DUMMYFUNCTION("""COMPUTED_VALUE"""),"A")</f>
        <v>A</v>
      </c>
      <c r="Q159" t="str">
        <f ca="1">IFERROR(__xludf.DUMMYFUNCTION("""COMPUTED_VALUE"""),"")</f>
        <v/>
      </c>
      <c r="R159" t="str">
        <f ca="1">IFERROR(__xludf.DUMMYFUNCTION("""COMPUTED_VALUE"""),"")</f>
        <v/>
      </c>
      <c r="S159" t="str">
        <f ca="1">IFERROR(__xludf.DUMMYFUNCTION("""COMPUTED_VALUE"""),"")</f>
        <v/>
      </c>
      <c r="T159" t="str">
        <f ca="1">IFERROR(__xludf.DUMMYFUNCTION("""COMPUTED_VALUE"""),"")</f>
        <v/>
      </c>
      <c r="U159" t="str">
        <f ca="1">IFERROR(__xludf.DUMMYFUNCTION("""COMPUTED_VALUE"""),"")</f>
        <v/>
      </c>
      <c r="V159" t="str">
        <f ca="1">IFERROR(__xludf.DUMMYFUNCTION("""COMPUTED_VALUE"""),"")</f>
        <v/>
      </c>
      <c r="W159" t="str">
        <f ca="1">IFERROR(__xludf.DUMMYFUNCTION("""COMPUTED_VALUE"""),"")</f>
        <v/>
      </c>
      <c r="X159" t="str">
        <f ca="1">IFERROR(__xludf.DUMMYFUNCTION("""COMPUTED_VALUE"""),"")</f>
        <v/>
      </c>
      <c r="Y159" t="str">
        <f ca="1">IFERROR(__xludf.DUMMYFUNCTION("""COMPUTED_VALUE"""),"SŠ (15-19 years)")</f>
        <v>SŠ (15-19 years)</v>
      </c>
      <c r="Z159" s="158" t="b">
        <f ca="1">IFERROR(__xludf.DUMMYFUNCTION("""COMPUTED_VALUE"""),FALSE)</f>
        <v>0</v>
      </c>
      <c r="AA159" t="b">
        <f ca="1">IFERROR(__xludf.DUMMYFUNCTION("""COMPUTED_VALUE"""),TRUE)</f>
        <v>1</v>
      </c>
      <c r="AB159" t="b">
        <f ca="1">IFERROR(__xludf.DUMMYFUNCTION("""COMPUTED_VALUE"""),TRUE)</f>
        <v>1</v>
      </c>
      <c r="AC159" t="b">
        <f ca="1">IFERROR(__xludf.DUMMYFUNCTION("""COMPUTED_VALUE"""),FALSE)</f>
        <v>0</v>
      </c>
      <c r="AD159" t="b">
        <f ca="1">IFERROR(__xludf.DUMMYFUNCTION("""COMPUTED_VALUE"""),FALSE)</f>
        <v>0</v>
      </c>
      <c r="AE159" t="b">
        <f ca="1">IFERROR(__xludf.DUMMYFUNCTION("""COMPUTED_VALUE"""),FALSE)</f>
        <v>0</v>
      </c>
      <c r="AF159" t="b">
        <f ca="1">IFERROR(__xludf.DUMMYFUNCTION("""COMPUTED_VALUE"""),FALSE)</f>
        <v>0</v>
      </c>
      <c r="AG159" t="str">
        <f ca="1">IFERROR(__xludf.DUMMYFUNCTION("""COMPUTED_VALUE"""),"Dálkový medvěd (bear rescue), Autonomní medvěd (bear rescue advance)")</f>
        <v>Dálkový medvěd (bear rescue), Autonomní medvěd (bear rescue advance)</v>
      </c>
    </row>
    <row r="160" spans="1:33" ht="13.2">
      <c r="A160">
        <f ca="1">IFERROR(__xludf.DUMMYFUNCTION("""COMPUTED_VALUE"""),167)</f>
        <v>167</v>
      </c>
      <c r="B160" t="str">
        <f ca="1">IFERROR(__xludf.DUMMYFUNCTION("""COMPUTED_VALUE"""),"Polska Nowa Wes (PL)")</f>
        <v>Polska Nowa Wes (PL)</v>
      </c>
      <c r="C160" t="str">
        <f ca="1">IFERROR(__xludf.DUMMYFUNCTION("""COMPUTED_VALUE"""),"PSP Nasza Szkola")</f>
        <v>PSP Nasza Szkola</v>
      </c>
      <c r="D160" t="str">
        <f ca="1">IFERROR(__xludf.DUMMYFUNCTION("""COMPUTED_VALUE"""),"Bunlab Team V")</f>
        <v>Bunlab Team V</v>
      </c>
      <c r="E160" s="158">
        <f ca="1">IFERROR(__xludf.DUMMYFUNCTION("""COMPUTED_VALUE"""),0.453472222222222)</f>
        <v>0.453472222222222</v>
      </c>
      <c r="F160" t="str">
        <f ca="1">IFERROR(__xludf.DUMMYFUNCTION("""COMPUTED_VALUE"""),"A")</f>
        <v>A</v>
      </c>
      <c r="G160" s="158">
        <f ca="1">IFERROR(__xludf.DUMMYFUNCTION("""COMPUTED_VALUE"""),0.523611111111111)</f>
        <v>0.52361111111111103</v>
      </c>
      <c r="H160" t="str">
        <f ca="1">IFERROR(__xludf.DUMMYFUNCTION("""COMPUTED_VALUE"""),"A")</f>
        <v>A</v>
      </c>
      <c r="I160" s="158">
        <f ca="1">IFERROR(__xludf.DUMMYFUNCTION("""COMPUTED_VALUE"""),0.598611111111111)</f>
        <v>0.59861111111111098</v>
      </c>
      <c r="J160" t="str">
        <f ca="1">IFERROR(__xludf.DUMMYFUNCTION("""COMPUTED_VALUE"""),"A")</f>
        <v>A</v>
      </c>
      <c r="K160" t="str">
        <f ca="1">IFERROR(__xludf.DUMMYFUNCTION("""COMPUTED_VALUE"""),"")</f>
        <v/>
      </c>
      <c r="L160" t="str">
        <f ca="1">IFERROR(__xludf.DUMMYFUNCTION("""COMPUTED_VALUE"""),"")</f>
        <v/>
      </c>
      <c r="M160" t="str">
        <f ca="1">IFERROR(__xludf.DUMMYFUNCTION("""COMPUTED_VALUE"""),"")</f>
        <v/>
      </c>
      <c r="N160" t="str">
        <f ca="1">IFERROR(__xludf.DUMMYFUNCTION("""COMPUTED_VALUE"""),"")</f>
        <v/>
      </c>
      <c r="O160" t="str">
        <f ca="1">IFERROR(__xludf.DUMMYFUNCTION("""COMPUTED_VALUE"""),"")</f>
        <v/>
      </c>
      <c r="P160" t="str">
        <f ca="1">IFERROR(__xludf.DUMMYFUNCTION("""COMPUTED_VALUE"""),"")</f>
        <v/>
      </c>
      <c r="Q160" s="158">
        <f ca="1">IFERROR(__xludf.DUMMYFUNCTION("""COMPUTED_VALUE"""),0.527083333333333)</f>
        <v>0.52708333333333302</v>
      </c>
      <c r="R160" t="str">
        <f ca="1">IFERROR(__xludf.DUMMYFUNCTION("""COMPUTED_VALUE"""),"A")</f>
        <v>A</v>
      </c>
      <c r="S160" s="158">
        <f ca="1">IFERROR(__xludf.DUMMYFUNCTION("""COMPUTED_VALUE"""),0.565277777777777)</f>
        <v>0.56527777777777699</v>
      </c>
      <c r="T160" t="str">
        <f ca="1">IFERROR(__xludf.DUMMYFUNCTION("""COMPUTED_VALUE"""),"A")</f>
        <v>A</v>
      </c>
      <c r="U160" t="str">
        <f ca="1">IFERROR(__xludf.DUMMYFUNCTION("""COMPUTED_VALUE"""),"")</f>
        <v/>
      </c>
      <c r="V160" t="str">
        <f ca="1">IFERROR(__xludf.DUMMYFUNCTION("""COMPUTED_VALUE"""),"")</f>
        <v/>
      </c>
      <c r="W160" t="str">
        <f ca="1">IFERROR(__xludf.DUMMYFUNCTION("""COMPUTED_VALUE"""),"")</f>
        <v/>
      </c>
      <c r="X160" t="str">
        <f ca="1">IFERROR(__xludf.DUMMYFUNCTION("""COMPUTED_VALUE"""),"")</f>
        <v/>
      </c>
      <c r="Y160" t="str">
        <f ca="1">IFERROR(__xludf.DUMMYFUNCTION("""COMPUTED_VALUE"""),"ZŠ (6-15 years)")</f>
        <v>ZŠ (6-15 years)</v>
      </c>
      <c r="Z160" t="b">
        <f ca="1">IFERROR(__xludf.DUMMYFUNCTION("""COMPUTED_VALUE"""),TRUE)</f>
        <v>1</v>
      </c>
      <c r="AA160" t="b">
        <f ca="1">IFERROR(__xludf.DUMMYFUNCTION("""COMPUTED_VALUE"""),FALSE)</f>
        <v>0</v>
      </c>
      <c r="AB160" t="b">
        <f ca="1">IFERROR(__xludf.DUMMYFUNCTION("""COMPUTED_VALUE"""),FALSE)</f>
        <v>0</v>
      </c>
      <c r="AC160" t="b">
        <f ca="1">IFERROR(__xludf.DUMMYFUNCTION("""COMPUTED_VALUE"""),TRUE)</f>
        <v>1</v>
      </c>
      <c r="AD160" t="b">
        <f ca="1">IFERROR(__xludf.DUMMYFUNCTION("""COMPUTED_VALUE"""),FALSE)</f>
        <v>0</v>
      </c>
      <c r="AE160" t="b">
        <f ca="1">IFERROR(__xludf.DUMMYFUNCTION("""COMPUTED_VALUE"""),FALSE)</f>
        <v>0</v>
      </c>
      <c r="AF160" t="b">
        <f ca="1">IFERROR(__xludf.DUMMYFUNCTION("""COMPUTED_VALUE"""),FALSE)</f>
        <v>0</v>
      </c>
      <c r="AG160" t="str">
        <f ca="1">IFERROR(__xludf.DUMMYFUNCTION("""COMPUTED_VALUE"""),"Čára (line follower), Sprint - LEGO (drag race - Lego)")</f>
        <v>Čára (line follower), Sprint - LEGO (drag race - Lego)</v>
      </c>
    </row>
    <row r="161" spans="1:33" ht="13.2">
      <c r="A161">
        <f ca="1">IFERROR(__xludf.DUMMYFUNCTION("""COMPUTED_VALUE"""),168)</f>
        <v>168</v>
      </c>
      <c r="B161" t="str">
        <f ca="1">IFERROR(__xludf.DUMMYFUNCTION("""COMPUTED_VALUE"""),"Polska Nowa Wes (PL)")</f>
        <v>Polska Nowa Wes (PL)</v>
      </c>
      <c r="C161" t="str">
        <f ca="1">IFERROR(__xludf.DUMMYFUNCTION("""COMPUTED_VALUE"""),"PSP Polska Nowa Wieś")</f>
        <v>PSP Polska Nowa Wieś</v>
      </c>
      <c r="D161" t="str">
        <f ca="1">IFERROR(__xludf.DUMMYFUNCTION("""COMPUTED_VALUE"""),"Bunlab Team VI")</f>
        <v>Bunlab Team VI</v>
      </c>
      <c r="E161" t="str">
        <f ca="1">IFERROR(__xludf.DUMMYFUNCTION("""COMPUTED_VALUE"""),"---")</f>
        <v>---</v>
      </c>
      <c r="F161" t="str">
        <f ca="1">IFERROR(__xludf.DUMMYFUNCTION("""COMPUTED_VALUE"""),"")</f>
        <v/>
      </c>
      <c r="G161" s="158" t="str">
        <f ca="1">IFERROR(__xludf.DUMMYFUNCTION("""COMPUTED_VALUE"""),"---")</f>
        <v>---</v>
      </c>
      <c r="H161" t="str">
        <f ca="1">IFERROR(__xludf.DUMMYFUNCTION("""COMPUTED_VALUE"""),"")</f>
        <v/>
      </c>
      <c r="I161" s="158" t="str">
        <f ca="1">IFERROR(__xludf.DUMMYFUNCTION("""COMPUTED_VALUE"""),"---")</f>
        <v>---</v>
      </c>
      <c r="J161" t="str">
        <f ca="1">IFERROR(__xludf.DUMMYFUNCTION("""COMPUTED_VALUE"""),"")</f>
        <v/>
      </c>
      <c r="K161" s="158">
        <f ca="1">IFERROR(__xludf.DUMMYFUNCTION("""COMPUTED_VALUE"""),0.472222222222222)</f>
        <v>0.47222222222222199</v>
      </c>
      <c r="L161" t="str">
        <f ca="1">IFERROR(__xludf.DUMMYFUNCTION("""COMPUTED_VALUE"""),"A")</f>
        <v>A</v>
      </c>
      <c r="M161" s="158">
        <f ca="1">IFERROR(__xludf.DUMMYFUNCTION("""COMPUTED_VALUE"""),0.5625)</f>
        <v>0.5625</v>
      </c>
      <c r="N161" t="str">
        <f ca="1">IFERROR(__xludf.DUMMYFUNCTION("""COMPUTED_VALUE"""),"A")</f>
        <v>A</v>
      </c>
      <c r="O161" s="158">
        <f ca="1">IFERROR(__xludf.DUMMYFUNCTION("""COMPUTED_VALUE"""),0.5125)</f>
        <v>0.51249999999999996</v>
      </c>
      <c r="P161" t="str">
        <f ca="1">IFERROR(__xludf.DUMMYFUNCTION("""COMPUTED_VALUE"""),"B")</f>
        <v>B</v>
      </c>
      <c r="Q161" t="str">
        <f ca="1">IFERROR(__xludf.DUMMYFUNCTION("""COMPUTED_VALUE"""),"")</f>
        <v/>
      </c>
      <c r="R161" t="str">
        <f ca="1">IFERROR(__xludf.DUMMYFUNCTION("""COMPUTED_VALUE"""),"")</f>
        <v/>
      </c>
      <c r="S161" t="str">
        <f ca="1">IFERROR(__xludf.DUMMYFUNCTION("""COMPUTED_VALUE"""),"")</f>
        <v/>
      </c>
      <c r="T161" t="str">
        <f ca="1">IFERROR(__xludf.DUMMYFUNCTION("""COMPUTED_VALUE"""),"")</f>
        <v/>
      </c>
      <c r="U161" t="str">
        <f ca="1">IFERROR(__xludf.DUMMYFUNCTION("""COMPUTED_VALUE"""),"")</f>
        <v/>
      </c>
      <c r="V161" t="str">
        <f ca="1">IFERROR(__xludf.DUMMYFUNCTION("""COMPUTED_VALUE"""),"")</f>
        <v/>
      </c>
      <c r="W161" t="str">
        <f ca="1">IFERROR(__xludf.DUMMYFUNCTION("""COMPUTED_VALUE"""),"")</f>
        <v/>
      </c>
      <c r="X161" t="str">
        <f ca="1">IFERROR(__xludf.DUMMYFUNCTION("""COMPUTED_VALUE"""),"")</f>
        <v/>
      </c>
      <c r="Y161" t="str">
        <f ca="1">IFERROR(__xludf.DUMMYFUNCTION("""COMPUTED_VALUE"""),"ZŠ (6-15 years)")</f>
        <v>ZŠ (6-15 years)</v>
      </c>
      <c r="Z161" s="158" t="b">
        <f ca="1">IFERROR(__xludf.DUMMYFUNCTION("""COMPUTED_VALUE"""),FALSE)</f>
        <v>0</v>
      </c>
      <c r="AA161" t="b">
        <f ca="1">IFERROR(__xludf.DUMMYFUNCTION("""COMPUTED_VALUE"""),TRUE)</f>
        <v>1</v>
      </c>
      <c r="AB161" t="b">
        <f ca="1">IFERROR(__xludf.DUMMYFUNCTION("""COMPUTED_VALUE"""),TRUE)</f>
        <v>1</v>
      </c>
      <c r="AC161" t="b">
        <f ca="1">IFERROR(__xludf.DUMMYFUNCTION("""COMPUTED_VALUE"""),FALSE)</f>
        <v>0</v>
      </c>
      <c r="AD161" t="b">
        <f ca="1">IFERROR(__xludf.DUMMYFUNCTION("""COMPUTED_VALUE"""),FALSE)</f>
        <v>0</v>
      </c>
      <c r="AE161" t="b">
        <f ca="1">IFERROR(__xludf.DUMMYFUNCTION("""COMPUTED_VALUE"""),FALSE)</f>
        <v>0</v>
      </c>
      <c r="AF161" t="b">
        <f ca="1">IFERROR(__xludf.DUMMYFUNCTION("""COMPUTED_VALUE"""),FALSE)</f>
        <v>0</v>
      </c>
      <c r="AG161" t="str">
        <f ca="1">IFERROR(__xludf.DUMMYFUNCTION("""COMPUTED_VALUE"""),"Dálkový medvěd (bear rescue), Autonomní medvěd (bear rescue advance)")</f>
        <v>Dálkový medvěd (bear rescue), Autonomní medvěd (bear rescue advance)</v>
      </c>
    </row>
    <row r="162" spans="1:33" ht="13.2">
      <c r="A162">
        <f ca="1">IFERROR(__xludf.DUMMYFUNCTION("""COMPUTED_VALUE"""),169)</f>
        <v>169</v>
      </c>
      <c r="B162" t="str">
        <f ca="1">IFERROR(__xludf.DUMMYFUNCTION("""COMPUTED_VALUE"""),"Polska Nowa Wes (PL)")</f>
        <v>Polska Nowa Wes (PL)</v>
      </c>
      <c r="C162" t="str">
        <f ca="1">IFERROR(__xludf.DUMMYFUNCTION("""COMPUTED_VALUE"""),"TAK im. Ireny Sendlerowej Opole")</f>
        <v>TAK im. Ireny Sendlerowej Opole</v>
      </c>
      <c r="D162" t="str">
        <f ca="1">IFERROR(__xludf.DUMMYFUNCTION("""COMPUTED_VALUE"""),"Bunlab Team VII")</f>
        <v>Bunlab Team VII</v>
      </c>
      <c r="E162" s="158">
        <f ca="1">IFERROR(__xludf.DUMMYFUNCTION("""COMPUTED_VALUE"""),0.45625)</f>
        <v>0.45624999999999999</v>
      </c>
      <c r="F162" t="str">
        <f ca="1">IFERROR(__xludf.DUMMYFUNCTION("""COMPUTED_VALUE"""),"B")</f>
        <v>B</v>
      </c>
      <c r="G162" s="158">
        <f ca="1">IFERROR(__xludf.DUMMYFUNCTION("""COMPUTED_VALUE"""),0.526388888888888)</f>
        <v>0.52638888888888802</v>
      </c>
      <c r="H162" t="str">
        <f ca="1">IFERROR(__xludf.DUMMYFUNCTION("""COMPUTED_VALUE"""),"B")</f>
        <v>B</v>
      </c>
      <c r="I162" s="158">
        <f ca="1">IFERROR(__xludf.DUMMYFUNCTION("""COMPUTED_VALUE"""),0.601388888888888)</f>
        <v>0.60138888888888797</v>
      </c>
      <c r="J162" t="str">
        <f ca="1">IFERROR(__xludf.DUMMYFUNCTION("""COMPUTED_VALUE"""),"B")</f>
        <v>B</v>
      </c>
      <c r="K162" t="str">
        <f ca="1">IFERROR(__xludf.DUMMYFUNCTION("""COMPUTED_VALUE"""),"")</f>
        <v/>
      </c>
      <c r="L162" t="str">
        <f ca="1">IFERROR(__xludf.DUMMYFUNCTION("""COMPUTED_VALUE"""),"")</f>
        <v/>
      </c>
      <c r="M162" t="str">
        <f ca="1">IFERROR(__xludf.DUMMYFUNCTION("""COMPUTED_VALUE"""),"")</f>
        <v/>
      </c>
      <c r="N162" t="str">
        <f ca="1">IFERROR(__xludf.DUMMYFUNCTION("""COMPUTED_VALUE"""),"")</f>
        <v/>
      </c>
      <c r="O162" s="158">
        <f ca="1">IFERROR(__xludf.DUMMYFUNCTION("""COMPUTED_VALUE"""),0.513888888888888)</f>
        <v>0.51388888888888795</v>
      </c>
      <c r="P162" t="str">
        <f ca="1">IFERROR(__xludf.DUMMYFUNCTION("""COMPUTED_VALUE"""),"A")</f>
        <v>A</v>
      </c>
      <c r="Q162" t="str">
        <f ca="1">IFERROR(__xludf.DUMMYFUNCTION("""COMPUTED_VALUE"""),"")</f>
        <v/>
      </c>
      <c r="R162" t="str">
        <f ca="1">IFERROR(__xludf.DUMMYFUNCTION("""COMPUTED_VALUE"""),"")</f>
        <v/>
      </c>
      <c r="S162" t="str">
        <f ca="1">IFERROR(__xludf.DUMMYFUNCTION("""COMPUTED_VALUE"""),"")</f>
        <v/>
      </c>
      <c r="T162" t="str">
        <f ca="1">IFERROR(__xludf.DUMMYFUNCTION("""COMPUTED_VALUE"""),"")</f>
        <v/>
      </c>
      <c r="U162" t="str">
        <f ca="1">IFERROR(__xludf.DUMMYFUNCTION("""COMPUTED_VALUE"""),"")</f>
        <v/>
      </c>
      <c r="V162" t="str">
        <f ca="1">IFERROR(__xludf.DUMMYFUNCTION("""COMPUTED_VALUE"""),"")</f>
        <v/>
      </c>
      <c r="W162" t="str">
        <f ca="1">IFERROR(__xludf.DUMMYFUNCTION("""COMPUTED_VALUE"""),"")</f>
        <v/>
      </c>
      <c r="X162" t="str">
        <f ca="1">IFERROR(__xludf.DUMMYFUNCTION("""COMPUTED_VALUE"""),"")</f>
        <v/>
      </c>
      <c r="Y162" t="str">
        <f ca="1">IFERROR(__xludf.DUMMYFUNCTION("""COMPUTED_VALUE"""),"ZŠ (6-15 years)")</f>
        <v>ZŠ (6-15 years)</v>
      </c>
      <c r="Z162" t="b">
        <f ca="1">IFERROR(__xludf.DUMMYFUNCTION("""COMPUTED_VALUE"""),TRUE)</f>
        <v>1</v>
      </c>
      <c r="AA162" t="b">
        <f ca="1">IFERROR(__xludf.DUMMYFUNCTION("""COMPUTED_VALUE"""),FALSE)</f>
        <v>0</v>
      </c>
      <c r="AB162" t="b">
        <f ca="1">IFERROR(__xludf.DUMMYFUNCTION("""COMPUTED_VALUE"""),TRUE)</f>
        <v>1</v>
      </c>
      <c r="AC162" t="b">
        <f ca="1">IFERROR(__xludf.DUMMYFUNCTION("""COMPUTED_VALUE"""),FALSE)</f>
        <v>0</v>
      </c>
      <c r="AD162" t="b">
        <f ca="1">IFERROR(__xludf.DUMMYFUNCTION("""COMPUTED_VALUE"""),FALSE)</f>
        <v>0</v>
      </c>
      <c r="AE162" t="b">
        <f ca="1">IFERROR(__xludf.DUMMYFUNCTION("""COMPUTED_VALUE"""),FALSE)</f>
        <v>0</v>
      </c>
      <c r="AF162" t="b">
        <f ca="1">IFERROR(__xludf.DUMMYFUNCTION("""COMPUTED_VALUE"""),FALSE)</f>
        <v>0</v>
      </c>
      <c r="AG162" t="str">
        <f ca="1">IFERROR(__xludf.DUMMYFUNCTION("""COMPUTED_VALUE"""),"Čára (line follower), Dálkový medvěd (bear rescue)")</f>
        <v>Čára (line follower), Dálkový medvěd (bear rescue)</v>
      </c>
    </row>
    <row r="163" spans="1:33" ht="13.2">
      <c r="A163">
        <f ca="1">IFERROR(__xludf.DUMMYFUNCTION("""COMPUTED_VALUE"""),170)</f>
        <v>170</v>
      </c>
      <c r="B163" t="str">
        <f ca="1">IFERROR(__xludf.DUMMYFUNCTION("""COMPUTED_VALUE"""),"Polska Nowa Wes (PL)")</f>
        <v>Polska Nowa Wes (PL)</v>
      </c>
      <c r="C163" t="str">
        <f ca="1">IFERROR(__xludf.DUMMYFUNCTION("""COMPUTED_VALUE"""),"LO Nr 1 Opole")</f>
        <v>LO Nr 1 Opole</v>
      </c>
      <c r="D163" t="str">
        <f ca="1">IFERROR(__xludf.DUMMYFUNCTION("""COMPUTED_VALUE"""),"Bunlab Team VIII")</f>
        <v>Bunlab Team VIII</v>
      </c>
      <c r="E163" t="str">
        <f ca="1">IFERROR(__xludf.DUMMYFUNCTION("""COMPUTED_VALUE"""),"---")</f>
        <v>---</v>
      </c>
      <c r="F163" t="str">
        <f ca="1">IFERROR(__xludf.DUMMYFUNCTION("""COMPUTED_VALUE"""),"")</f>
        <v/>
      </c>
      <c r="G163" s="158" t="str">
        <f ca="1">IFERROR(__xludf.DUMMYFUNCTION("""COMPUTED_VALUE"""),"---")</f>
        <v>---</v>
      </c>
      <c r="H163" t="str">
        <f ca="1">IFERROR(__xludf.DUMMYFUNCTION("""COMPUTED_VALUE"""),"")</f>
        <v/>
      </c>
      <c r="I163" s="158" t="str">
        <f ca="1">IFERROR(__xludf.DUMMYFUNCTION("""COMPUTED_VALUE"""),"---")</f>
        <v>---</v>
      </c>
      <c r="J163" t="str">
        <f ca="1">IFERROR(__xludf.DUMMYFUNCTION("""COMPUTED_VALUE"""),"")</f>
        <v/>
      </c>
      <c r="K163" s="158">
        <f ca="1">IFERROR(__xludf.DUMMYFUNCTION("""COMPUTED_VALUE"""),0.472222222222222)</f>
        <v>0.47222222222222199</v>
      </c>
      <c r="L163" t="str">
        <f ca="1">IFERROR(__xludf.DUMMYFUNCTION("""COMPUTED_VALUE"""),"B")</f>
        <v>B</v>
      </c>
      <c r="M163" s="158">
        <f ca="1">IFERROR(__xludf.DUMMYFUNCTION("""COMPUTED_VALUE"""),0.5625)</f>
        <v>0.5625</v>
      </c>
      <c r="N163" t="str">
        <f ca="1">IFERROR(__xludf.DUMMYFUNCTION("""COMPUTED_VALUE"""),"B")</f>
        <v>B</v>
      </c>
      <c r="O163" s="158">
        <f ca="1">IFERROR(__xludf.DUMMYFUNCTION("""COMPUTED_VALUE"""),0.513888888888888)</f>
        <v>0.51388888888888795</v>
      </c>
      <c r="P163" t="str">
        <f ca="1">IFERROR(__xludf.DUMMYFUNCTION("""COMPUTED_VALUE"""),"B")</f>
        <v>B</v>
      </c>
      <c r="Q163" t="str">
        <f ca="1">IFERROR(__xludf.DUMMYFUNCTION("""COMPUTED_VALUE"""),"")</f>
        <v/>
      </c>
      <c r="R163" t="str">
        <f ca="1">IFERROR(__xludf.DUMMYFUNCTION("""COMPUTED_VALUE"""),"")</f>
        <v/>
      </c>
      <c r="S163" t="str">
        <f ca="1">IFERROR(__xludf.DUMMYFUNCTION("""COMPUTED_VALUE"""),"")</f>
        <v/>
      </c>
      <c r="T163" t="str">
        <f ca="1">IFERROR(__xludf.DUMMYFUNCTION("""COMPUTED_VALUE"""),"")</f>
        <v/>
      </c>
      <c r="U163" t="str">
        <f ca="1">IFERROR(__xludf.DUMMYFUNCTION("""COMPUTED_VALUE"""),"")</f>
        <v/>
      </c>
      <c r="V163" t="str">
        <f ca="1">IFERROR(__xludf.DUMMYFUNCTION("""COMPUTED_VALUE"""),"")</f>
        <v/>
      </c>
      <c r="W163" t="str">
        <f ca="1">IFERROR(__xludf.DUMMYFUNCTION("""COMPUTED_VALUE"""),"")</f>
        <v/>
      </c>
      <c r="X163" t="str">
        <f ca="1">IFERROR(__xludf.DUMMYFUNCTION("""COMPUTED_VALUE"""),"")</f>
        <v/>
      </c>
      <c r="Y163" t="str">
        <f ca="1">IFERROR(__xludf.DUMMYFUNCTION("""COMPUTED_VALUE"""),"ZŠ (6-15 years)")</f>
        <v>ZŠ (6-15 years)</v>
      </c>
      <c r="Z163" s="158" t="b">
        <f ca="1">IFERROR(__xludf.DUMMYFUNCTION("""COMPUTED_VALUE"""),FALSE)</f>
        <v>0</v>
      </c>
      <c r="AA163" t="b">
        <f ca="1">IFERROR(__xludf.DUMMYFUNCTION("""COMPUTED_VALUE"""),TRUE)</f>
        <v>1</v>
      </c>
      <c r="AB163" t="b">
        <f ca="1">IFERROR(__xludf.DUMMYFUNCTION("""COMPUTED_VALUE"""),TRUE)</f>
        <v>1</v>
      </c>
      <c r="AC163" t="b">
        <f ca="1">IFERROR(__xludf.DUMMYFUNCTION("""COMPUTED_VALUE"""),FALSE)</f>
        <v>0</v>
      </c>
      <c r="AD163" t="b">
        <f ca="1">IFERROR(__xludf.DUMMYFUNCTION("""COMPUTED_VALUE"""),FALSE)</f>
        <v>0</v>
      </c>
      <c r="AE163" t="b">
        <f ca="1">IFERROR(__xludf.DUMMYFUNCTION("""COMPUTED_VALUE"""),FALSE)</f>
        <v>0</v>
      </c>
      <c r="AF163" t="b">
        <f ca="1">IFERROR(__xludf.DUMMYFUNCTION("""COMPUTED_VALUE"""),FALSE)</f>
        <v>0</v>
      </c>
      <c r="AG163" t="str">
        <f ca="1">IFERROR(__xludf.DUMMYFUNCTION("""COMPUTED_VALUE"""),"Dálkový medvěd (bear rescue), Autonomní medvěd (bear rescue advance)")</f>
        <v>Dálkový medvěd (bear rescue), Autonomní medvěd (bear rescue advance)</v>
      </c>
    </row>
    <row r="164" spans="1:33" ht="13.2">
      <c r="A164">
        <f ca="1">IFERROR(__xludf.DUMMYFUNCTION("""COMPUTED_VALUE"""),172)</f>
        <v>172</v>
      </c>
      <c r="B164" t="str">
        <f ca="1">IFERROR(__xludf.DUMMYFUNCTION("""COMPUTED_VALUE"""),"Opole (PL)")</f>
        <v>Opole (PL)</v>
      </c>
      <c r="C164" t="str">
        <f ca="1">IFERROR(__xludf.DUMMYFUNCTION("""COMPUTED_VALUE"""),"PSP Polska Nowa Wieś")</f>
        <v>PSP Polska Nowa Wieś</v>
      </c>
      <c r="D164" t="str">
        <f ca="1">IFERROR(__xludf.DUMMYFUNCTION("""COMPUTED_VALUE"""),"Bunlab Team X")</f>
        <v>Bunlab Team X</v>
      </c>
      <c r="E164" s="158">
        <f ca="1">IFERROR(__xludf.DUMMYFUNCTION("""COMPUTED_VALUE"""),0.457638888888888)</f>
        <v>0.45763888888888798</v>
      </c>
      <c r="F164" t="str">
        <f ca="1">IFERROR(__xludf.DUMMYFUNCTION("""COMPUTED_VALUE"""),"B")</f>
        <v>B</v>
      </c>
      <c r="G164" s="158">
        <f ca="1">IFERROR(__xludf.DUMMYFUNCTION("""COMPUTED_VALUE"""),0.527777777777777)</f>
        <v>0.52777777777777701</v>
      </c>
      <c r="H164" t="str">
        <f ca="1">IFERROR(__xludf.DUMMYFUNCTION("""COMPUTED_VALUE"""),"B")</f>
        <v>B</v>
      </c>
      <c r="I164" s="158">
        <f ca="1">IFERROR(__xludf.DUMMYFUNCTION("""COMPUTED_VALUE"""),0.602777777777777)</f>
        <v>0.60277777777777697</v>
      </c>
      <c r="J164" t="str">
        <f ca="1">IFERROR(__xludf.DUMMYFUNCTION("""COMPUTED_VALUE"""),"B")</f>
        <v>B</v>
      </c>
      <c r="K164" t="str">
        <f ca="1">IFERROR(__xludf.DUMMYFUNCTION("""COMPUTED_VALUE"""),"")</f>
        <v/>
      </c>
      <c r="L164" t="str">
        <f ca="1">IFERROR(__xludf.DUMMYFUNCTION("""COMPUTED_VALUE"""),"")</f>
        <v/>
      </c>
      <c r="M164" t="str">
        <f ca="1">IFERROR(__xludf.DUMMYFUNCTION("""COMPUTED_VALUE"""),"")</f>
        <v/>
      </c>
      <c r="N164" t="str">
        <f ca="1">IFERROR(__xludf.DUMMYFUNCTION("""COMPUTED_VALUE"""),"")</f>
        <v/>
      </c>
      <c r="O164" t="str">
        <f ca="1">IFERROR(__xludf.DUMMYFUNCTION("""COMPUTED_VALUE"""),"")</f>
        <v/>
      </c>
      <c r="P164" t="str">
        <f ca="1">IFERROR(__xludf.DUMMYFUNCTION("""COMPUTED_VALUE"""),"")</f>
        <v/>
      </c>
      <c r="Q164" t="str">
        <f ca="1">IFERROR(__xludf.DUMMYFUNCTION("""COMPUTED_VALUE"""),"")</f>
        <v/>
      </c>
      <c r="R164" t="str">
        <f ca="1">IFERROR(__xludf.DUMMYFUNCTION("""COMPUTED_VALUE"""),"")</f>
        <v/>
      </c>
      <c r="S164" t="str">
        <f ca="1">IFERROR(__xludf.DUMMYFUNCTION("""COMPUTED_VALUE"""),"")</f>
        <v/>
      </c>
      <c r="T164" t="str">
        <f ca="1">IFERROR(__xludf.DUMMYFUNCTION("""COMPUTED_VALUE"""),"")</f>
        <v/>
      </c>
      <c r="U164" t="str">
        <f ca="1">IFERROR(__xludf.DUMMYFUNCTION("""COMPUTED_VALUE"""),"")</f>
        <v/>
      </c>
      <c r="V164" t="str">
        <f ca="1">IFERROR(__xludf.DUMMYFUNCTION("""COMPUTED_VALUE"""),"")</f>
        <v/>
      </c>
      <c r="W164" t="str">
        <f ca="1">IFERROR(__xludf.DUMMYFUNCTION("""COMPUTED_VALUE"""),"")</f>
        <v/>
      </c>
      <c r="X164" t="str">
        <f ca="1">IFERROR(__xludf.DUMMYFUNCTION("""COMPUTED_VALUE"""),"")</f>
        <v/>
      </c>
      <c r="Y164" t="str">
        <f ca="1">IFERROR(__xludf.DUMMYFUNCTION("""COMPUTED_VALUE"""),"ZŠ (6-15 years)")</f>
        <v>ZŠ (6-15 years)</v>
      </c>
      <c r="Z164" t="b">
        <f ca="1">IFERROR(__xludf.DUMMYFUNCTION("""COMPUTED_VALUE"""),TRUE)</f>
        <v>1</v>
      </c>
      <c r="AA164" t="b">
        <f ca="1">IFERROR(__xludf.DUMMYFUNCTION("""COMPUTED_VALUE"""),FALSE)</f>
        <v>0</v>
      </c>
      <c r="AB164" t="b">
        <f ca="1">IFERROR(__xludf.DUMMYFUNCTION("""COMPUTED_VALUE"""),FALSE)</f>
        <v>0</v>
      </c>
      <c r="AC164" t="b">
        <f ca="1">IFERROR(__xludf.DUMMYFUNCTION("""COMPUTED_VALUE"""),FALSE)</f>
        <v>0</v>
      </c>
      <c r="AD164" t="b">
        <f ca="1">IFERROR(__xludf.DUMMYFUNCTION("""COMPUTED_VALUE"""),FALSE)</f>
        <v>0</v>
      </c>
      <c r="AE164" t="b">
        <f ca="1">IFERROR(__xludf.DUMMYFUNCTION("""COMPUTED_VALUE"""),FALSE)</f>
        <v>0</v>
      </c>
      <c r="AF164" t="b">
        <f ca="1">IFERROR(__xludf.DUMMYFUNCTION("""COMPUTED_VALUE"""),FALSE)</f>
        <v>0</v>
      </c>
      <c r="AG164" t="str">
        <f ca="1">IFERROR(__xludf.DUMMYFUNCTION("""COMPUTED_VALUE"""),"Čára (line follower)")</f>
        <v>Čára (line follower)</v>
      </c>
    </row>
    <row r="165" spans="1:33" ht="13.2">
      <c r="A165">
        <f ca="1">IFERROR(__xludf.DUMMYFUNCTION("""COMPUTED_VALUE"""),173)</f>
        <v>173</v>
      </c>
      <c r="B165" t="str">
        <f ca="1">IFERROR(__xludf.DUMMYFUNCTION("""COMPUTED_VALUE"""),"Opole (PL)")</f>
        <v>Opole (PL)</v>
      </c>
      <c r="C165" t="str">
        <f ca="1">IFERROR(__xludf.DUMMYFUNCTION("""COMPUTED_VALUE"""),"PSP Polska Nowa Wieś")</f>
        <v>PSP Polska Nowa Wieś</v>
      </c>
      <c r="D165" t="str">
        <f ca="1">IFERROR(__xludf.DUMMYFUNCTION("""COMPUTED_VALUE"""),"Bunlab Team XI")</f>
        <v>Bunlab Team XI</v>
      </c>
      <c r="E165" t="str">
        <f ca="1">IFERROR(__xludf.DUMMYFUNCTION("""COMPUTED_VALUE"""),"---")</f>
        <v>---</v>
      </c>
      <c r="F165" t="str">
        <f ca="1">IFERROR(__xludf.DUMMYFUNCTION("""COMPUTED_VALUE"""),"")</f>
        <v/>
      </c>
      <c r="G165" s="158" t="str">
        <f ca="1">IFERROR(__xludf.DUMMYFUNCTION("""COMPUTED_VALUE"""),"---")</f>
        <v>---</v>
      </c>
      <c r="H165" t="str">
        <f ca="1">IFERROR(__xludf.DUMMYFUNCTION("""COMPUTED_VALUE"""),"")</f>
        <v/>
      </c>
      <c r="I165" s="158" t="str">
        <f ca="1">IFERROR(__xludf.DUMMYFUNCTION("""COMPUTED_VALUE"""),"---")</f>
        <v>---</v>
      </c>
      <c r="J165" t="str">
        <f ca="1">IFERROR(__xludf.DUMMYFUNCTION("""COMPUTED_VALUE"""),"")</f>
        <v/>
      </c>
      <c r="K165" t="str">
        <f ca="1">IFERROR(__xludf.DUMMYFUNCTION("""COMPUTED_VALUE"""),"")</f>
        <v/>
      </c>
      <c r="L165" t="str">
        <f ca="1">IFERROR(__xludf.DUMMYFUNCTION("""COMPUTED_VALUE"""),"")</f>
        <v/>
      </c>
      <c r="M165" t="str">
        <f ca="1">IFERROR(__xludf.DUMMYFUNCTION("""COMPUTED_VALUE"""),"")</f>
        <v/>
      </c>
      <c r="N165" t="str">
        <f ca="1">IFERROR(__xludf.DUMMYFUNCTION("""COMPUTED_VALUE"""),"")</f>
        <v/>
      </c>
      <c r="O165" s="158">
        <f ca="1">IFERROR(__xludf.DUMMYFUNCTION("""COMPUTED_VALUE"""),0.515277777777777)</f>
        <v>0.51527777777777695</v>
      </c>
      <c r="P165" t="str">
        <f ca="1">IFERROR(__xludf.DUMMYFUNCTION("""COMPUTED_VALUE"""),"A")</f>
        <v>A</v>
      </c>
      <c r="Q165" t="str">
        <f ca="1">IFERROR(__xludf.DUMMYFUNCTION("""COMPUTED_VALUE"""),"")</f>
        <v/>
      </c>
      <c r="R165" t="str">
        <f ca="1">IFERROR(__xludf.DUMMYFUNCTION("""COMPUTED_VALUE"""),"")</f>
        <v/>
      </c>
      <c r="S165" t="str">
        <f ca="1">IFERROR(__xludf.DUMMYFUNCTION("""COMPUTED_VALUE"""),"")</f>
        <v/>
      </c>
      <c r="T165" t="str">
        <f ca="1">IFERROR(__xludf.DUMMYFUNCTION("""COMPUTED_VALUE"""),"")</f>
        <v/>
      </c>
      <c r="U165" t="str">
        <f ca="1">IFERROR(__xludf.DUMMYFUNCTION("""COMPUTED_VALUE"""),"")</f>
        <v/>
      </c>
      <c r="V165" t="str">
        <f ca="1">IFERROR(__xludf.DUMMYFUNCTION("""COMPUTED_VALUE"""),"")</f>
        <v/>
      </c>
      <c r="W165" t="str">
        <f ca="1">IFERROR(__xludf.DUMMYFUNCTION("""COMPUTED_VALUE"""),"")</f>
        <v/>
      </c>
      <c r="X165" t="str">
        <f ca="1">IFERROR(__xludf.DUMMYFUNCTION("""COMPUTED_VALUE"""),"")</f>
        <v/>
      </c>
      <c r="Y165" t="str">
        <f ca="1">IFERROR(__xludf.DUMMYFUNCTION("""COMPUTED_VALUE"""),"ZŠ (6-15 years)")</f>
        <v>ZŠ (6-15 years)</v>
      </c>
      <c r="Z165" s="158" t="b">
        <f ca="1">IFERROR(__xludf.DUMMYFUNCTION("""COMPUTED_VALUE"""),FALSE)</f>
        <v>0</v>
      </c>
      <c r="AA165" t="b">
        <f ca="1">IFERROR(__xludf.DUMMYFUNCTION("""COMPUTED_VALUE"""),FALSE)</f>
        <v>0</v>
      </c>
      <c r="AB165" t="b">
        <f ca="1">IFERROR(__xludf.DUMMYFUNCTION("""COMPUTED_VALUE"""),TRUE)</f>
        <v>1</v>
      </c>
      <c r="AC165" t="b">
        <f ca="1">IFERROR(__xludf.DUMMYFUNCTION("""COMPUTED_VALUE"""),FALSE)</f>
        <v>0</v>
      </c>
      <c r="AD165" t="b">
        <f ca="1">IFERROR(__xludf.DUMMYFUNCTION("""COMPUTED_VALUE"""),FALSE)</f>
        <v>0</v>
      </c>
      <c r="AE165" t="b">
        <f ca="1">IFERROR(__xludf.DUMMYFUNCTION("""COMPUTED_VALUE"""),FALSE)</f>
        <v>0</v>
      </c>
      <c r="AF165" t="b">
        <f ca="1">IFERROR(__xludf.DUMMYFUNCTION("""COMPUTED_VALUE"""),FALSE)</f>
        <v>0</v>
      </c>
      <c r="AG165" t="str">
        <f ca="1">IFERROR(__xludf.DUMMYFUNCTION("""COMPUTED_VALUE"""),"Dálkový medvěd (bear rescue)")</f>
        <v>Dálkový medvěd (bear rescue)</v>
      </c>
    </row>
    <row r="166" spans="1:33" ht="13.2">
      <c r="A166">
        <f ca="1">IFERROR(__xludf.DUMMYFUNCTION("""COMPUTED_VALUE"""),175)</f>
        <v>175</v>
      </c>
      <c r="B166" t="str">
        <f ca="1">IFERROR(__xludf.DUMMYFUNCTION("""COMPUTED_VALUE"""),"Kutná Hora")</f>
        <v>Kutná Hora</v>
      </c>
      <c r="C166" t="str">
        <f ca="1">IFERROR(__xludf.DUMMYFUNCTION("""COMPUTED_VALUE"""),"Gymnázium Jiřího Ortena Kutná Hora")</f>
        <v>Gymnázium Jiřího Ortena Kutná Hora</v>
      </c>
      <c r="D166" t="str">
        <f ca="1">IFERROR(__xludf.DUMMYFUNCTION("""COMPUTED_VALUE"""),"Los Brikulos")</f>
        <v>Los Brikulos</v>
      </c>
      <c r="E166" s="158">
        <f ca="1">IFERROR(__xludf.DUMMYFUNCTION("""COMPUTED_VALUE"""),0.45625)</f>
        <v>0.45624999999999999</v>
      </c>
      <c r="F166" t="str">
        <f ca="1">IFERROR(__xludf.DUMMYFUNCTION("""COMPUTED_VALUE"""),"A")</f>
        <v>A</v>
      </c>
      <c r="G166" s="158">
        <f ca="1">IFERROR(__xludf.DUMMYFUNCTION("""COMPUTED_VALUE"""),0.526388888888888)</f>
        <v>0.52638888888888802</v>
      </c>
      <c r="H166" t="str">
        <f ca="1">IFERROR(__xludf.DUMMYFUNCTION("""COMPUTED_VALUE"""),"A")</f>
        <v>A</v>
      </c>
      <c r="I166" s="158">
        <f ca="1">IFERROR(__xludf.DUMMYFUNCTION("""COMPUTED_VALUE"""),0.601388888888888)</f>
        <v>0.60138888888888797</v>
      </c>
      <c r="J166" t="str">
        <f ca="1">IFERROR(__xludf.DUMMYFUNCTION("""COMPUTED_VALUE"""),"A")</f>
        <v>A</v>
      </c>
      <c r="K166" t="str">
        <f ca="1">IFERROR(__xludf.DUMMYFUNCTION("""COMPUTED_VALUE"""),"")</f>
        <v/>
      </c>
      <c r="L166" t="str">
        <f ca="1">IFERROR(__xludf.DUMMYFUNCTION("""COMPUTED_VALUE"""),"")</f>
        <v/>
      </c>
      <c r="M166" t="str">
        <f ca="1">IFERROR(__xludf.DUMMYFUNCTION("""COMPUTED_VALUE"""),"")</f>
        <v/>
      </c>
      <c r="N166" t="str">
        <f ca="1">IFERROR(__xludf.DUMMYFUNCTION("""COMPUTED_VALUE"""),"")</f>
        <v/>
      </c>
      <c r="O166" t="str">
        <f ca="1">IFERROR(__xludf.DUMMYFUNCTION("""COMPUTED_VALUE"""),"")</f>
        <v/>
      </c>
      <c r="P166" t="str">
        <f ca="1">IFERROR(__xludf.DUMMYFUNCTION("""COMPUTED_VALUE"""),"")</f>
        <v/>
      </c>
      <c r="Q166" s="158">
        <f ca="1">IFERROR(__xludf.DUMMYFUNCTION("""COMPUTED_VALUE"""),0.527777777777777)</f>
        <v>0.52777777777777701</v>
      </c>
      <c r="R166" t="str">
        <f ca="1">IFERROR(__xludf.DUMMYFUNCTION("""COMPUTED_VALUE"""),"A")</f>
        <v>A</v>
      </c>
      <c r="S166" s="158">
        <f ca="1">IFERROR(__xludf.DUMMYFUNCTION("""COMPUTED_VALUE"""),0.565972222222222)</f>
        <v>0.56597222222222199</v>
      </c>
      <c r="T166" t="str">
        <f ca="1">IFERROR(__xludf.DUMMYFUNCTION("""COMPUTED_VALUE"""),"A")</f>
        <v>A</v>
      </c>
      <c r="U166" t="str">
        <f ca="1">IFERROR(__xludf.DUMMYFUNCTION("""COMPUTED_VALUE"""),"")</f>
        <v/>
      </c>
      <c r="V166" t="str">
        <f ca="1">IFERROR(__xludf.DUMMYFUNCTION("""COMPUTED_VALUE"""),"")</f>
        <v/>
      </c>
      <c r="W166" t="str">
        <f ca="1">IFERROR(__xludf.DUMMYFUNCTION("""COMPUTED_VALUE"""),"")</f>
        <v/>
      </c>
      <c r="X166" t="str">
        <f ca="1">IFERROR(__xludf.DUMMYFUNCTION("""COMPUTED_VALUE"""),"")</f>
        <v/>
      </c>
      <c r="Y166" t="str">
        <f ca="1">IFERROR(__xludf.DUMMYFUNCTION("""COMPUTED_VALUE"""),"SŠ")</f>
        <v>SŠ</v>
      </c>
      <c r="Z166" t="b">
        <f ca="1">IFERROR(__xludf.DUMMYFUNCTION("""COMPUTED_VALUE"""),TRUE)</f>
        <v>1</v>
      </c>
      <c r="AA166" t="b">
        <f ca="1">IFERROR(__xludf.DUMMYFUNCTION("""COMPUTED_VALUE"""),FALSE)</f>
        <v>0</v>
      </c>
      <c r="AB166" t="b">
        <f ca="1">IFERROR(__xludf.DUMMYFUNCTION("""COMPUTED_VALUE"""),FALSE)</f>
        <v>0</v>
      </c>
      <c r="AC166" t="b">
        <f ca="1">IFERROR(__xludf.DUMMYFUNCTION("""COMPUTED_VALUE"""),TRUE)</f>
        <v>1</v>
      </c>
      <c r="AD166" t="b">
        <f ca="1">IFERROR(__xludf.DUMMYFUNCTION("""COMPUTED_VALUE"""),FALSE)</f>
        <v>0</v>
      </c>
      <c r="AE166" t="b">
        <f ca="1">IFERROR(__xludf.DUMMYFUNCTION("""COMPUTED_VALUE"""),FALSE)</f>
        <v>0</v>
      </c>
      <c r="AF166" t="b">
        <f ca="1">IFERROR(__xludf.DUMMYFUNCTION("""COMPUTED_VALUE"""),FALSE)</f>
        <v>0</v>
      </c>
      <c r="AG166" t="str">
        <f ca="1">IFERROR(__xludf.DUMMYFUNCTION("""COMPUTED_VALUE"""),"Čára (line follower), Sprint - LEGO (drag race - Lego)")</f>
        <v>Čára (line follower), Sprint - LEGO (drag race - Lego)</v>
      </c>
    </row>
    <row r="167" spans="1:33" ht="13.2">
      <c r="A167">
        <f ca="1">IFERROR(__xludf.DUMMYFUNCTION("""COMPUTED_VALUE"""),176)</f>
        <v>176</v>
      </c>
      <c r="B167" t="str">
        <f ca="1">IFERROR(__xludf.DUMMYFUNCTION("""COMPUTED_VALUE"""),"Kutná Hora")</f>
        <v>Kutná Hora</v>
      </c>
      <c r="C167" t="str">
        <f ca="1">IFERROR(__xludf.DUMMYFUNCTION("""COMPUTED_VALUE"""),"Gymnázium Jiřího Ortena Kutná Hora")</f>
        <v>Gymnázium Jiřího Ortena Kutná Hora</v>
      </c>
      <c r="D167" t="str">
        <f ca="1">IFERROR(__xludf.DUMMYFUNCTION("""COMPUTED_VALUE"""),"RK Hořínek")</f>
        <v>RK Hořínek</v>
      </c>
      <c r="E167" s="158">
        <f ca="1">IFERROR(__xludf.DUMMYFUNCTION("""COMPUTED_VALUE"""),0.459027777777777)</f>
        <v>0.45902777777777698</v>
      </c>
      <c r="F167" t="str">
        <f ca="1">IFERROR(__xludf.DUMMYFUNCTION("""COMPUTED_VALUE"""),"B")</f>
        <v>B</v>
      </c>
      <c r="G167" s="158">
        <f ca="1">IFERROR(__xludf.DUMMYFUNCTION("""COMPUTED_VALUE"""),0.529166666666666)</f>
        <v>0.52916666666666601</v>
      </c>
      <c r="H167" t="str">
        <f ca="1">IFERROR(__xludf.DUMMYFUNCTION("""COMPUTED_VALUE"""),"B")</f>
        <v>B</v>
      </c>
      <c r="I167" s="158">
        <f ca="1">IFERROR(__xludf.DUMMYFUNCTION("""COMPUTED_VALUE"""),0.604166666666666)</f>
        <v>0.60416666666666596</v>
      </c>
      <c r="J167" t="str">
        <f ca="1">IFERROR(__xludf.DUMMYFUNCTION("""COMPUTED_VALUE"""),"B")</f>
        <v>B</v>
      </c>
      <c r="K167" t="str">
        <f ca="1">IFERROR(__xludf.DUMMYFUNCTION("""COMPUTED_VALUE"""),"")</f>
        <v/>
      </c>
      <c r="L167" t="str">
        <f ca="1">IFERROR(__xludf.DUMMYFUNCTION("""COMPUTED_VALUE"""),"")</f>
        <v/>
      </c>
      <c r="M167" t="str">
        <f ca="1">IFERROR(__xludf.DUMMYFUNCTION("""COMPUTED_VALUE"""),"")</f>
        <v/>
      </c>
      <c r="N167" t="str">
        <f ca="1">IFERROR(__xludf.DUMMYFUNCTION("""COMPUTED_VALUE"""),"")</f>
        <v/>
      </c>
      <c r="O167" t="str">
        <f ca="1">IFERROR(__xludf.DUMMYFUNCTION("""COMPUTED_VALUE"""),"")</f>
        <v/>
      </c>
      <c r="P167" t="str">
        <f ca="1">IFERROR(__xludf.DUMMYFUNCTION("""COMPUTED_VALUE"""),"")</f>
        <v/>
      </c>
      <c r="Q167" s="158">
        <f ca="1">IFERROR(__xludf.DUMMYFUNCTION("""COMPUTED_VALUE"""),0.527777777777777)</f>
        <v>0.52777777777777701</v>
      </c>
      <c r="R167" t="str">
        <f ca="1">IFERROR(__xludf.DUMMYFUNCTION("""COMPUTED_VALUE"""),"B")</f>
        <v>B</v>
      </c>
      <c r="S167" s="158">
        <f ca="1">IFERROR(__xludf.DUMMYFUNCTION("""COMPUTED_VALUE"""),0.565972222222222)</f>
        <v>0.56597222222222199</v>
      </c>
      <c r="T167" t="str">
        <f ca="1">IFERROR(__xludf.DUMMYFUNCTION("""COMPUTED_VALUE"""),"B")</f>
        <v>B</v>
      </c>
      <c r="U167" t="str">
        <f ca="1">IFERROR(__xludf.DUMMYFUNCTION("""COMPUTED_VALUE"""),"")</f>
        <v/>
      </c>
      <c r="V167" t="str">
        <f ca="1">IFERROR(__xludf.DUMMYFUNCTION("""COMPUTED_VALUE"""),"")</f>
        <v/>
      </c>
      <c r="W167" t="str">
        <f ca="1">IFERROR(__xludf.DUMMYFUNCTION("""COMPUTED_VALUE"""),"")</f>
        <v/>
      </c>
      <c r="X167" t="str">
        <f ca="1">IFERROR(__xludf.DUMMYFUNCTION("""COMPUTED_VALUE"""),"")</f>
        <v/>
      </c>
      <c r="Y167" t="str">
        <f ca="1">IFERROR(__xludf.DUMMYFUNCTION("""COMPUTED_VALUE"""),"SŠ")</f>
        <v>SŠ</v>
      </c>
      <c r="Z167" t="b">
        <f ca="1">IFERROR(__xludf.DUMMYFUNCTION("""COMPUTED_VALUE"""),TRUE)</f>
        <v>1</v>
      </c>
      <c r="AA167" t="b">
        <f ca="1">IFERROR(__xludf.DUMMYFUNCTION("""COMPUTED_VALUE"""),FALSE)</f>
        <v>0</v>
      </c>
      <c r="AB167" t="b">
        <f ca="1">IFERROR(__xludf.DUMMYFUNCTION("""COMPUTED_VALUE"""),FALSE)</f>
        <v>0</v>
      </c>
      <c r="AC167" t="b">
        <f ca="1">IFERROR(__xludf.DUMMYFUNCTION("""COMPUTED_VALUE"""),FALSE)</f>
        <v>0</v>
      </c>
      <c r="AD167" t="b">
        <f ca="1">IFERROR(__xludf.DUMMYFUNCTION("""COMPUTED_VALUE"""),FALSE)</f>
        <v>0</v>
      </c>
      <c r="AE167" t="b">
        <f ca="1">IFERROR(__xludf.DUMMYFUNCTION("""COMPUTED_VALUE"""),FALSE)</f>
        <v>0</v>
      </c>
      <c r="AF167" t="b">
        <f ca="1">IFERROR(__xludf.DUMMYFUNCTION("""COMPUTED_VALUE"""),FALSE)</f>
        <v>0</v>
      </c>
      <c r="AG167" t="str">
        <f ca="1">IFERROR(__xludf.DUMMYFUNCTION("""COMPUTED_VALUE"""),"Čára (line follower), Sprint - LEGO (drag race - Lego)")</f>
        <v>Čára (line follower), Sprint - LEGO (drag race - Lego)</v>
      </c>
    </row>
    <row r="168" spans="1:33" ht="13.2">
      <c r="A168">
        <f ca="1">IFERROR(__xludf.DUMMYFUNCTION("""COMPUTED_VALUE"""),177)</f>
        <v>177</v>
      </c>
      <c r="B168" t="str">
        <f ca="1">IFERROR(__xludf.DUMMYFUNCTION("""COMPUTED_VALUE"""),"Trstená")</f>
        <v>Trstená</v>
      </c>
      <c r="C168" t="str">
        <f ca="1">IFERROR(__xludf.DUMMYFUNCTION("""COMPUTED_VALUE"""),"Gymnázium Martina Hattalu Trstená")</f>
        <v>Gymnázium Martina Hattalu Trstená</v>
      </c>
      <c r="D168" t="str">
        <f ca="1">IFERROR(__xludf.DUMMYFUNCTION("""COMPUTED_VALUE"""),"Dift")</f>
        <v>Dift</v>
      </c>
      <c r="E168" s="158">
        <f ca="1">IFERROR(__xludf.DUMMYFUNCTION("""COMPUTED_VALUE"""),0.457638888888888)</f>
        <v>0.45763888888888798</v>
      </c>
      <c r="F168" t="str">
        <f ca="1">IFERROR(__xludf.DUMMYFUNCTION("""COMPUTED_VALUE"""),"A")</f>
        <v>A</v>
      </c>
      <c r="G168" s="158">
        <f ca="1">IFERROR(__xludf.DUMMYFUNCTION("""COMPUTED_VALUE"""),0.527777777777777)</f>
        <v>0.52777777777777701</v>
      </c>
      <c r="H168" t="str">
        <f ca="1">IFERROR(__xludf.DUMMYFUNCTION("""COMPUTED_VALUE"""),"A")</f>
        <v>A</v>
      </c>
      <c r="I168" s="158">
        <f ca="1">IFERROR(__xludf.DUMMYFUNCTION("""COMPUTED_VALUE"""),0.602777777777777)</f>
        <v>0.60277777777777697</v>
      </c>
      <c r="J168" t="str">
        <f ca="1">IFERROR(__xludf.DUMMYFUNCTION("""COMPUTED_VALUE"""),"A")</f>
        <v>A</v>
      </c>
      <c r="K168" t="str">
        <f ca="1">IFERROR(__xludf.DUMMYFUNCTION("""COMPUTED_VALUE"""),"")</f>
        <v/>
      </c>
      <c r="L168" t="str">
        <f ca="1">IFERROR(__xludf.DUMMYFUNCTION("""COMPUTED_VALUE"""),"")</f>
        <v/>
      </c>
      <c r="M168" t="str">
        <f ca="1">IFERROR(__xludf.DUMMYFUNCTION("""COMPUTED_VALUE"""),"")</f>
        <v/>
      </c>
      <c r="N168" t="str">
        <f ca="1">IFERROR(__xludf.DUMMYFUNCTION("""COMPUTED_VALUE"""),"")</f>
        <v/>
      </c>
      <c r="O168" t="str">
        <f ca="1">IFERROR(__xludf.DUMMYFUNCTION("""COMPUTED_VALUE"""),"")</f>
        <v/>
      </c>
      <c r="P168" t="str">
        <f ca="1">IFERROR(__xludf.DUMMYFUNCTION("""COMPUTED_VALUE"""),"")</f>
        <v/>
      </c>
      <c r="Q168" t="str">
        <f ca="1">IFERROR(__xludf.DUMMYFUNCTION("""COMPUTED_VALUE"""),"")</f>
        <v/>
      </c>
      <c r="R168" t="str">
        <f ca="1">IFERROR(__xludf.DUMMYFUNCTION("""COMPUTED_VALUE"""),"")</f>
        <v/>
      </c>
      <c r="S168" t="str">
        <f ca="1">IFERROR(__xludf.DUMMYFUNCTION("""COMPUTED_VALUE"""),"")</f>
        <v/>
      </c>
      <c r="T168" t="str">
        <f ca="1">IFERROR(__xludf.DUMMYFUNCTION("""COMPUTED_VALUE"""),"")</f>
        <v/>
      </c>
      <c r="U168" s="158">
        <f ca="1">IFERROR(__xludf.DUMMYFUNCTION("""COMPUTED_VALUE"""),0.536805555555555)</f>
        <v>0.53680555555555498</v>
      </c>
      <c r="V168" t="str">
        <f ca="1">IFERROR(__xludf.DUMMYFUNCTION("""COMPUTED_VALUE"""),"B")</f>
        <v>B</v>
      </c>
      <c r="W168" s="158">
        <f ca="1">IFERROR(__xludf.DUMMYFUNCTION("""COMPUTED_VALUE"""),0.575)</f>
        <v>0.57499999999999996</v>
      </c>
      <c r="X168" t="str">
        <f ca="1">IFERROR(__xludf.DUMMYFUNCTION("""COMPUTED_VALUE"""),"B")</f>
        <v>B</v>
      </c>
      <c r="Y168" t="str">
        <f ca="1">IFERROR(__xludf.DUMMYFUNCTION("""COMPUTED_VALUE"""),"SŠ")</f>
        <v>SŠ</v>
      </c>
      <c r="Z168" t="b">
        <f ca="1">IFERROR(__xludf.DUMMYFUNCTION("""COMPUTED_VALUE"""),TRUE)</f>
        <v>1</v>
      </c>
      <c r="AA168" t="b">
        <f ca="1">IFERROR(__xludf.DUMMYFUNCTION("""COMPUTED_VALUE"""),FALSE)</f>
        <v>0</v>
      </c>
      <c r="AB168" t="b">
        <f ca="1">IFERROR(__xludf.DUMMYFUNCTION("""COMPUTED_VALUE"""),FALSE)</f>
        <v>0</v>
      </c>
      <c r="AC168" t="b">
        <f ca="1">IFERROR(__xludf.DUMMYFUNCTION("""COMPUTED_VALUE"""),FALSE)</f>
        <v>0</v>
      </c>
      <c r="AD168" t="b">
        <f ca="1">IFERROR(__xludf.DUMMYFUNCTION("""COMPUTED_VALUE"""),TRUE)</f>
        <v>1</v>
      </c>
      <c r="AE168" t="b">
        <f ca="1">IFERROR(__xludf.DUMMYFUNCTION("""COMPUTED_VALUE"""),FALSE)</f>
        <v>0</v>
      </c>
      <c r="AF168" t="b">
        <f ca="1">IFERROR(__xludf.DUMMYFUNCTION("""COMPUTED_VALUE"""),FALSE)</f>
        <v>0</v>
      </c>
      <c r="AG168" t="str">
        <f ca="1">IFERROR(__xludf.DUMMYFUNCTION("""COMPUTED_VALUE"""),"Čára (line follower), Sprint - NeLEGOvý (drag race - Non Lego)")</f>
        <v>Čára (line follower), Sprint - NeLEGOvý (drag race - Non Lego)</v>
      </c>
    </row>
    <row r="169" spans="1:33" ht="13.2">
      <c r="A169">
        <f ca="1">IFERROR(__xludf.DUMMYFUNCTION("""COMPUTED_VALUE"""),178)</f>
        <v>178</v>
      </c>
      <c r="B169" t="str">
        <f ca="1">IFERROR(__xludf.DUMMYFUNCTION("""COMPUTED_VALUE"""),"Bierun (PL)")</f>
        <v>Bierun (PL)</v>
      </c>
      <c r="C169" t="str">
        <f ca="1">IFERROR(__xludf.DUMMYFUNCTION("""COMPUTED_VALUE"""),"LO Bieruń")</f>
        <v>LO Bieruń</v>
      </c>
      <c r="D169" t="str">
        <f ca="1">IFERROR(__xludf.DUMMYFUNCTION("""COMPUTED_VALUE"""),"Prostacka prostota ")</f>
        <v xml:space="preserve">Prostacka prostota </v>
      </c>
      <c r="E169" s="158">
        <f ca="1">IFERROR(__xludf.DUMMYFUNCTION("""COMPUTED_VALUE"""),0.461111111111111)</f>
        <v>0.46111111111111103</v>
      </c>
      <c r="F169" t="str">
        <f ca="1">IFERROR(__xludf.DUMMYFUNCTION("""COMPUTED_VALUE"""),"B")</f>
        <v>B</v>
      </c>
      <c r="G169" s="158">
        <f ca="1">IFERROR(__xludf.DUMMYFUNCTION("""COMPUTED_VALUE"""),0.518055555555555)</f>
        <v>0.51805555555555505</v>
      </c>
      <c r="H169" t="str">
        <f ca="1">IFERROR(__xludf.DUMMYFUNCTION("""COMPUTED_VALUE"""),"B")</f>
        <v>B</v>
      </c>
      <c r="I169" s="158">
        <f ca="1">IFERROR(__xludf.DUMMYFUNCTION("""COMPUTED_VALUE"""),0.605555555555555)</f>
        <v>0.60555555555555496</v>
      </c>
      <c r="J169" t="str">
        <f ca="1">IFERROR(__xludf.DUMMYFUNCTION("""COMPUTED_VALUE"""),"B")</f>
        <v>B</v>
      </c>
      <c r="K169" t="str">
        <f ca="1">IFERROR(__xludf.DUMMYFUNCTION("""COMPUTED_VALUE"""),"")</f>
        <v/>
      </c>
      <c r="L169" t="str">
        <f ca="1">IFERROR(__xludf.DUMMYFUNCTION("""COMPUTED_VALUE"""),"")</f>
        <v/>
      </c>
      <c r="M169" t="str">
        <f ca="1">IFERROR(__xludf.DUMMYFUNCTION("""COMPUTED_VALUE"""),"")</f>
        <v/>
      </c>
      <c r="N169" t="str">
        <f ca="1">IFERROR(__xludf.DUMMYFUNCTION("""COMPUTED_VALUE"""),"")</f>
        <v/>
      </c>
      <c r="O169" t="str">
        <f ca="1">IFERROR(__xludf.DUMMYFUNCTION("""COMPUTED_VALUE"""),"")</f>
        <v/>
      </c>
      <c r="P169" t="str">
        <f ca="1">IFERROR(__xludf.DUMMYFUNCTION("""COMPUTED_VALUE"""),"")</f>
        <v/>
      </c>
      <c r="Q169" t="str">
        <f ca="1">IFERROR(__xludf.DUMMYFUNCTION("""COMPUTED_VALUE"""),"")</f>
        <v/>
      </c>
      <c r="R169" t="str">
        <f ca="1">IFERROR(__xludf.DUMMYFUNCTION("""COMPUTED_VALUE"""),"")</f>
        <v/>
      </c>
      <c r="S169" t="str">
        <f ca="1">IFERROR(__xludf.DUMMYFUNCTION("""COMPUTED_VALUE"""),"")</f>
        <v/>
      </c>
      <c r="T169" t="str">
        <f ca="1">IFERROR(__xludf.DUMMYFUNCTION("""COMPUTED_VALUE"""),"")</f>
        <v/>
      </c>
      <c r="U169" t="str">
        <f ca="1">IFERROR(__xludf.DUMMYFUNCTION("""COMPUTED_VALUE"""),"")</f>
        <v/>
      </c>
      <c r="V169" t="str">
        <f ca="1">IFERROR(__xludf.DUMMYFUNCTION("""COMPUTED_VALUE"""),"")</f>
        <v/>
      </c>
      <c r="W169" t="str">
        <f ca="1">IFERROR(__xludf.DUMMYFUNCTION("""COMPUTED_VALUE"""),"")</f>
        <v/>
      </c>
      <c r="X169" t="str">
        <f ca="1">IFERROR(__xludf.DUMMYFUNCTION("""COMPUTED_VALUE"""),"")</f>
        <v/>
      </c>
      <c r="Y169" t="str">
        <f ca="1">IFERROR(__xludf.DUMMYFUNCTION("""COMPUTED_VALUE"""),"SŠ (15-19 years)")</f>
        <v>SŠ (15-19 years)</v>
      </c>
      <c r="Z169" t="b">
        <f ca="1">IFERROR(__xludf.DUMMYFUNCTION("""COMPUTED_VALUE"""),TRUE)</f>
        <v>1</v>
      </c>
      <c r="AA169" t="b">
        <f ca="1">IFERROR(__xludf.DUMMYFUNCTION("""COMPUTED_VALUE"""),FALSE)</f>
        <v>0</v>
      </c>
      <c r="AB169" t="b">
        <f ca="1">IFERROR(__xludf.DUMMYFUNCTION("""COMPUTED_VALUE"""),FALSE)</f>
        <v>0</v>
      </c>
      <c r="AC169" t="b">
        <f ca="1">IFERROR(__xludf.DUMMYFUNCTION("""COMPUTED_VALUE"""),FALSE)</f>
        <v>0</v>
      </c>
      <c r="AD169" t="b">
        <f ca="1">IFERROR(__xludf.DUMMYFUNCTION("""COMPUTED_VALUE"""),FALSE)</f>
        <v>0</v>
      </c>
      <c r="AE169" t="b">
        <f ca="1">IFERROR(__xludf.DUMMYFUNCTION("""COMPUTED_VALUE"""),FALSE)</f>
        <v>0</v>
      </c>
      <c r="AF169" t="b">
        <f ca="1">IFERROR(__xludf.DUMMYFUNCTION("""COMPUTED_VALUE"""),FALSE)</f>
        <v>0</v>
      </c>
      <c r="AG169" t="str">
        <f ca="1">IFERROR(__xludf.DUMMYFUNCTION("""COMPUTED_VALUE"""),"Čára (line follower)")</f>
        <v>Čára (line follower)</v>
      </c>
    </row>
    <row r="170" spans="1:33" ht="13.2">
      <c r="A170">
        <f ca="1">IFERROR(__xludf.DUMMYFUNCTION("""COMPUTED_VALUE"""),179)</f>
        <v>179</v>
      </c>
      <c r="B170" t="str">
        <f ca="1">IFERROR(__xludf.DUMMYFUNCTION("""COMPUTED_VALUE"""),"Bierun (PL)")</f>
        <v>Bierun (PL)</v>
      </c>
      <c r="C170" t="str">
        <f ca="1">IFERROR(__xludf.DUMMYFUNCTION("""COMPUTED_VALUE"""),"LO Bieruń")</f>
        <v>LO Bieruń</v>
      </c>
      <c r="D170" t="str">
        <f ca="1">IFERROR(__xludf.DUMMYFUNCTION("""COMPUTED_VALUE"""),"Korniszony")</f>
        <v>Korniszony</v>
      </c>
      <c r="E170" s="158">
        <f ca="1">IFERROR(__xludf.DUMMYFUNCTION("""COMPUTED_VALUE"""),0.459027777777777)</f>
        <v>0.45902777777777698</v>
      </c>
      <c r="F170" t="str">
        <f ca="1">IFERROR(__xludf.DUMMYFUNCTION("""COMPUTED_VALUE"""),"A")</f>
        <v>A</v>
      </c>
      <c r="G170" s="158">
        <f ca="1">IFERROR(__xludf.DUMMYFUNCTION("""COMPUTED_VALUE"""),0.529166666666666)</f>
        <v>0.52916666666666601</v>
      </c>
      <c r="H170" t="str">
        <f ca="1">IFERROR(__xludf.DUMMYFUNCTION("""COMPUTED_VALUE"""),"A")</f>
        <v>A</v>
      </c>
      <c r="I170" s="158">
        <f ca="1">IFERROR(__xludf.DUMMYFUNCTION("""COMPUTED_VALUE"""),0.604166666666666)</f>
        <v>0.60416666666666596</v>
      </c>
      <c r="J170" t="str">
        <f ca="1">IFERROR(__xludf.DUMMYFUNCTION("""COMPUTED_VALUE"""),"A")</f>
        <v>A</v>
      </c>
      <c r="K170" t="str">
        <f ca="1">IFERROR(__xludf.DUMMYFUNCTION("""COMPUTED_VALUE"""),"")</f>
        <v/>
      </c>
      <c r="L170" t="str">
        <f ca="1">IFERROR(__xludf.DUMMYFUNCTION("""COMPUTED_VALUE"""),"")</f>
        <v/>
      </c>
      <c r="M170" t="str">
        <f ca="1">IFERROR(__xludf.DUMMYFUNCTION("""COMPUTED_VALUE"""),"")</f>
        <v/>
      </c>
      <c r="N170" t="str">
        <f ca="1">IFERROR(__xludf.DUMMYFUNCTION("""COMPUTED_VALUE"""),"")</f>
        <v/>
      </c>
      <c r="O170" t="str">
        <f ca="1">IFERROR(__xludf.DUMMYFUNCTION("""COMPUTED_VALUE"""),"")</f>
        <v/>
      </c>
      <c r="P170" t="str">
        <f ca="1">IFERROR(__xludf.DUMMYFUNCTION("""COMPUTED_VALUE"""),"")</f>
        <v/>
      </c>
      <c r="Q170" t="str">
        <f ca="1">IFERROR(__xludf.DUMMYFUNCTION("""COMPUTED_VALUE"""),"")</f>
        <v/>
      </c>
      <c r="R170" t="str">
        <f ca="1">IFERROR(__xludf.DUMMYFUNCTION("""COMPUTED_VALUE"""),"")</f>
        <v/>
      </c>
      <c r="S170" t="str">
        <f ca="1">IFERROR(__xludf.DUMMYFUNCTION("""COMPUTED_VALUE"""),"")</f>
        <v/>
      </c>
      <c r="T170" t="str">
        <f ca="1">IFERROR(__xludf.DUMMYFUNCTION("""COMPUTED_VALUE"""),"")</f>
        <v/>
      </c>
      <c r="U170" t="str">
        <f ca="1">IFERROR(__xludf.DUMMYFUNCTION("""COMPUTED_VALUE"""),"")</f>
        <v/>
      </c>
      <c r="V170" t="str">
        <f ca="1">IFERROR(__xludf.DUMMYFUNCTION("""COMPUTED_VALUE"""),"")</f>
        <v/>
      </c>
      <c r="W170" t="str">
        <f ca="1">IFERROR(__xludf.DUMMYFUNCTION("""COMPUTED_VALUE"""),"")</f>
        <v/>
      </c>
      <c r="X170" t="str">
        <f ca="1">IFERROR(__xludf.DUMMYFUNCTION("""COMPUTED_VALUE"""),"")</f>
        <v/>
      </c>
      <c r="Y170" t="str">
        <f ca="1">IFERROR(__xludf.DUMMYFUNCTION("""COMPUTED_VALUE"""),"SŠ (15-19 years)")</f>
        <v>SŠ (15-19 years)</v>
      </c>
      <c r="Z170" t="b">
        <f ca="1">IFERROR(__xludf.DUMMYFUNCTION("""COMPUTED_VALUE"""),TRUE)</f>
        <v>1</v>
      </c>
      <c r="AA170" t="b">
        <f ca="1">IFERROR(__xludf.DUMMYFUNCTION("""COMPUTED_VALUE"""),FALSE)</f>
        <v>0</v>
      </c>
      <c r="AB170" t="b">
        <f ca="1">IFERROR(__xludf.DUMMYFUNCTION("""COMPUTED_VALUE"""),FALSE)</f>
        <v>0</v>
      </c>
      <c r="AC170" t="b">
        <f ca="1">IFERROR(__xludf.DUMMYFUNCTION("""COMPUTED_VALUE"""),FALSE)</f>
        <v>0</v>
      </c>
      <c r="AD170" t="b">
        <f ca="1">IFERROR(__xludf.DUMMYFUNCTION("""COMPUTED_VALUE"""),FALSE)</f>
        <v>0</v>
      </c>
      <c r="AE170" t="b">
        <f ca="1">IFERROR(__xludf.DUMMYFUNCTION("""COMPUTED_VALUE"""),FALSE)</f>
        <v>0</v>
      </c>
      <c r="AF170" t="b">
        <f ca="1">IFERROR(__xludf.DUMMYFUNCTION("""COMPUTED_VALUE"""),FALSE)</f>
        <v>0</v>
      </c>
      <c r="AG170" t="str">
        <f ca="1">IFERROR(__xludf.DUMMYFUNCTION("""COMPUTED_VALUE"""),"Čára (line follower)")</f>
        <v>Čára (line follower)</v>
      </c>
    </row>
    <row r="171" spans="1:33" ht="13.2">
      <c r="A171">
        <f ca="1">IFERROR(__xludf.DUMMYFUNCTION("""COMPUTED_VALUE"""),180)</f>
        <v>180</v>
      </c>
      <c r="B171" t="str">
        <f ca="1">IFERROR(__xludf.DUMMYFUNCTION("""COMPUTED_VALUE"""),"Bierun (PL)")</f>
        <v>Bierun (PL)</v>
      </c>
      <c r="C171" t="str">
        <f ca="1">IFERROR(__xludf.DUMMYFUNCTION("""COMPUTED_VALUE"""),"LO Bieruń")</f>
        <v>LO Bieruń</v>
      </c>
      <c r="D171" t="str">
        <f ca="1">IFERROR(__xludf.DUMMYFUNCTION("""COMPUTED_VALUE"""),"Gongulon")</f>
        <v>Gongulon</v>
      </c>
      <c r="E171" s="158">
        <f ca="1">IFERROR(__xludf.DUMMYFUNCTION("""COMPUTED_VALUE"""),0.4625)</f>
        <v>0.46250000000000002</v>
      </c>
      <c r="F171" t="str">
        <f ca="1">IFERROR(__xludf.DUMMYFUNCTION("""COMPUTED_VALUE"""),"B")</f>
        <v>B</v>
      </c>
      <c r="G171" s="158">
        <f ca="1">IFERROR(__xludf.DUMMYFUNCTION("""COMPUTED_VALUE"""),0.531944444444444)</f>
        <v>0.531944444444444</v>
      </c>
      <c r="H171" t="str">
        <f ca="1">IFERROR(__xludf.DUMMYFUNCTION("""COMPUTED_VALUE"""),"B")</f>
        <v>B</v>
      </c>
      <c r="I171" s="158">
        <f ca="1">IFERROR(__xludf.DUMMYFUNCTION("""COMPUTED_VALUE"""),0.606944444444444)</f>
        <v>0.60694444444444395</v>
      </c>
      <c r="J171" t="str">
        <f ca="1">IFERROR(__xludf.DUMMYFUNCTION("""COMPUTED_VALUE"""),"B")</f>
        <v>B</v>
      </c>
      <c r="K171" t="str">
        <f ca="1">IFERROR(__xludf.DUMMYFUNCTION("""COMPUTED_VALUE"""),"")</f>
        <v/>
      </c>
      <c r="L171" t="str">
        <f ca="1">IFERROR(__xludf.DUMMYFUNCTION("""COMPUTED_VALUE"""),"")</f>
        <v/>
      </c>
      <c r="M171" t="str">
        <f ca="1">IFERROR(__xludf.DUMMYFUNCTION("""COMPUTED_VALUE"""),"")</f>
        <v/>
      </c>
      <c r="N171" t="str">
        <f ca="1">IFERROR(__xludf.DUMMYFUNCTION("""COMPUTED_VALUE"""),"")</f>
        <v/>
      </c>
      <c r="O171" t="str">
        <f ca="1">IFERROR(__xludf.DUMMYFUNCTION("""COMPUTED_VALUE"""),"")</f>
        <v/>
      </c>
      <c r="P171" t="str">
        <f ca="1">IFERROR(__xludf.DUMMYFUNCTION("""COMPUTED_VALUE"""),"")</f>
        <v/>
      </c>
      <c r="Q171" t="str">
        <f ca="1">IFERROR(__xludf.DUMMYFUNCTION("""COMPUTED_VALUE"""),"")</f>
        <v/>
      </c>
      <c r="R171" t="str">
        <f ca="1">IFERROR(__xludf.DUMMYFUNCTION("""COMPUTED_VALUE"""),"")</f>
        <v/>
      </c>
      <c r="S171" t="str">
        <f ca="1">IFERROR(__xludf.DUMMYFUNCTION("""COMPUTED_VALUE"""),"")</f>
        <v/>
      </c>
      <c r="T171" t="str">
        <f ca="1">IFERROR(__xludf.DUMMYFUNCTION("""COMPUTED_VALUE"""),"")</f>
        <v/>
      </c>
      <c r="U171" t="str">
        <f ca="1">IFERROR(__xludf.DUMMYFUNCTION("""COMPUTED_VALUE"""),"")</f>
        <v/>
      </c>
      <c r="V171" t="str">
        <f ca="1">IFERROR(__xludf.DUMMYFUNCTION("""COMPUTED_VALUE"""),"")</f>
        <v/>
      </c>
      <c r="W171" t="str">
        <f ca="1">IFERROR(__xludf.DUMMYFUNCTION("""COMPUTED_VALUE"""),"")</f>
        <v/>
      </c>
      <c r="X171" t="str">
        <f ca="1">IFERROR(__xludf.DUMMYFUNCTION("""COMPUTED_VALUE"""),"")</f>
        <v/>
      </c>
      <c r="Y171" t="str">
        <f ca="1">IFERROR(__xludf.DUMMYFUNCTION("""COMPUTED_VALUE"""),"SŠ (15-19 years)")</f>
        <v>SŠ (15-19 years)</v>
      </c>
      <c r="Z171" t="b">
        <f ca="1">IFERROR(__xludf.DUMMYFUNCTION("""COMPUTED_VALUE"""),TRUE)</f>
        <v>1</v>
      </c>
      <c r="AA171" t="b">
        <f ca="1">IFERROR(__xludf.DUMMYFUNCTION("""COMPUTED_VALUE"""),FALSE)</f>
        <v>0</v>
      </c>
      <c r="AB171" t="b">
        <f ca="1">IFERROR(__xludf.DUMMYFUNCTION("""COMPUTED_VALUE"""),FALSE)</f>
        <v>0</v>
      </c>
      <c r="AC171" t="b">
        <f ca="1">IFERROR(__xludf.DUMMYFUNCTION("""COMPUTED_VALUE"""),FALSE)</f>
        <v>0</v>
      </c>
      <c r="AD171" t="b">
        <f ca="1">IFERROR(__xludf.DUMMYFUNCTION("""COMPUTED_VALUE"""),FALSE)</f>
        <v>0</v>
      </c>
      <c r="AE171" t="b">
        <f ca="1">IFERROR(__xludf.DUMMYFUNCTION("""COMPUTED_VALUE"""),FALSE)</f>
        <v>0</v>
      </c>
      <c r="AF171" t="b">
        <f ca="1">IFERROR(__xludf.DUMMYFUNCTION("""COMPUTED_VALUE"""),FALSE)</f>
        <v>0</v>
      </c>
      <c r="AG171" t="str">
        <f ca="1">IFERROR(__xludf.DUMMYFUNCTION("""COMPUTED_VALUE"""),"Čára (line follower)")</f>
        <v>Čára (line follower)</v>
      </c>
    </row>
    <row r="172" spans="1:33" ht="13.2">
      <c r="A172">
        <f ca="1">IFERROR(__xludf.DUMMYFUNCTION("""COMPUTED_VALUE"""),181)</f>
        <v>181</v>
      </c>
      <c r="B172" t="str">
        <f ca="1">IFERROR(__xludf.DUMMYFUNCTION("""COMPUTED_VALUE"""),"Bierun (PL)")</f>
        <v>Bierun (PL)</v>
      </c>
      <c r="C172" t="str">
        <f ca="1">IFERROR(__xludf.DUMMYFUNCTION("""COMPUTED_VALUE"""),"LO Bieruń")</f>
        <v>LO Bieruń</v>
      </c>
      <c r="D172" t="str">
        <f ca="1">IFERROR(__xludf.DUMMYFUNCTION("""COMPUTED_VALUE"""),"Jd_byku")</f>
        <v>Jd_byku</v>
      </c>
      <c r="E172" t="str">
        <f ca="1">IFERROR(__xludf.DUMMYFUNCTION("""COMPUTED_VALUE"""),"---")</f>
        <v>---</v>
      </c>
      <c r="F172" t="str">
        <f ca="1">IFERROR(__xludf.DUMMYFUNCTION("""COMPUTED_VALUE"""),"")</f>
        <v/>
      </c>
      <c r="G172" s="158" t="str">
        <f ca="1">IFERROR(__xludf.DUMMYFUNCTION("""COMPUTED_VALUE"""),"---")</f>
        <v>---</v>
      </c>
      <c r="H172" t="str">
        <f ca="1">IFERROR(__xludf.DUMMYFUNCTION("""COMPUTED_VALUE"""),"")</f>
        <v/>
      </c>
      <c r="I172" s="158" t="str">
        <f ca="1">IFERROR(__xludf.DUMMYFUNCTION("""COMPUTED_VALUE"""),"---")</f>
        <v>---</v>
      </c>
      <c r="J172" t="str">
        <f ca="1">IFERROR(__xludf.DUMMYFUNCTION("""COMPUTED_VALUE"""),"")</f>
        <v/>
      </c>
      <c r="K172" t="str">
        <f ca="1">IFERROR(__xludf.DUMMYFUNCTION("""COMPUTED_VALUE"""),"")</f>
        <v/>
      </c>
      <c r="L172" t="str">
        <f ca="1">IFERROR(__xludf.DUMMYFUNCTION("""COMPUTED_VALUE"""),"")</f>
        <v/>
      </c>
      <c r="M172" t="str">
        <f ca="1">IFERROR(__xludf.DUMMYFUNCTION("""COMPUTED_VALUE"""),"")</f>
        <v/>
      </c>
      <c r="N172" t="str">
        <f ca="1">IFERROR(__xludf.DUMMYFUNCTION("""COMPUTED_VALUE"""),"")</f>
        <v/>
      </c>
      <c r="O172" t="str">
        <f ca="1">IFERROR(__xludf.DUMMYFUNCTION("""COMPUTED_VALUE"""),"")</f>
        <v/>
      </c>
      <c r="P172" t="str">
        <f ca="1">IFERROR(__xludf.DUMMYFUNCTION("""COMPUTED_VALUE"""),"")</f>
        <v/>
      </c>
      <c r="Q172" s="158">
        <f ca="1">IFERROR(__xludf.DUMMYFUNCTION("""COMPUTED_VALUE"""),0.528472222222222)</f>
        <v>0.52847222222222201</v>
      </c>
      <c r="R172" t="str">
        <f ca="1">IFERROR(__xludf.DUMMYFUNCTION("""COMPUTED_VALUE"""),"A")</f>
        <v>A</v>
      </c>
      <c r="S172" s="158">
        <f ca="1">IFERROR(__xludf.DUMMYFUNCTION("""COMPUTED_VALUE"""),0.566666666666666)</f>
        <v>0.56666666666666599</v>
      </c>
      <c r="T172" t="str">
        <f ca="1">IFERROR(__xludf.DUMMYFUNCTION("""COMPUTED_VALUE"""),"A")</f>
        <v>A</v>
      </c>
      <c r="U172" t="str">
        <f ca="1">IFERROR(__xludf.DUMMYFUNCTION("""COMPUTED_VALUE"""),"")</f>
        <v/>
      </c>
      <c r="V172" t="str">
        <f ca="1">IFERROR(__xludf.DUMMYFUNCTION("""COMPUTED_VALUE"""),"")</f>
        <v/>
      </c>
      <c r="W172" t="str">
        <f ca="1">IFERROR(__xludf.DUMMYFUNCTION("""COMPUTED_VALUE"""),"")</f>
        <v/>
      </c>
      <c r="X172" t="str">
        <f ca="1">IFERROR(__xludf.DUMMYFUNCTION("""COMPUTED_VALUE"""),"")</f>
        <v/>
      </c>
      <c r="Y172" t="str">
        <f ca="1">IFERROR(__xludf.DUMMYFUNCTION("""COMPUTED_VALUE"""),"SŠ (15-19 years)")</f>
        <v>SŠ (15-19 years)</v>
      </c>
      <c r="Z172" s="158" t="b">
        <f ca="1">IFERROR(__xludf.DUMMYFUNCTION("""COMPUTED_VALUE"""),FALSE)</f>
        <v>0</v>
      </c>
      <c r="AA172" t="b">
        <f ca="1">IFERROR(__xludf.DUMMYFUNCTION("""COMPUTED_VALUE"""),FALSE)</f>
        <v>0</v>
      </c>
      <c r="AB172" t="b">
        <f ca="1">IFERROR(__xludf.DUMMYFUNCTION("""COMPUTED_VALUE"""),FALSE)</f>
        <v>0</v>
      </c>
      <c r="AC172" t="b">
        <f ca="1">IFERROR(__xludf.DUMMYFUNCTION("""COMPUTED_VALUE"""),TRUE)</f>
        <v>1</v>
      </c>
      <c r="AD172" t="b">
        <f ca="1">IFERROR(__xludf.DUMMYFUNCTION("""COMPUTED_VALUE"""),FALSE)</f>
        <v>0</v>
      </c>
      <c r="AE172" t="b">
        <f ca="1">IFERROR(__xludf.DUMMYFUNCTION("""COMPUTED_VALUE"""),FALSE)</f>
        <v>0</v>
      </c>
      <c r="AF172" t="b">
        <f ca="1">IFERROR(__xludf.DUMMYFUNCTION("""COMPUTED_VALUE"""),FALSE)</f>
        <v>0</v>
      </c>
      <c r="AG172" t="str">
        <f ca="1">IFERROR(__xludf.DUMMYFUNCTION("""COMPUTED_VALUE"""),"Sprint - LEGO (drag race - LEGO)")</f>
        <v>Sprint - LEGO (drag race - LEGO)</v>
      </c>
    </row>
    <row r="173" spans="1:33" ht="13.2">
      <c r="A173">
        <f ca="1">IFERROR(__xludf.DUMMYFUNCTION("""COMPUTED_VALUE"""),182)</f>
        <v>182</v>
      </c>
      <c r="B173" t="str">
        <f ca="1">IFERROR(__xludf.DUMMYFUNCTION("""COMPUTED_VALUE"""),"Rybnik (PL)")</f>
        <v>Rybnik (PL)</v>
      </c>
      <c r="C173" t="str">
        <f ca="1">IFERROR(__xludf.DUMMYFUNCTION("""COMPUTED_VALUE"""),"Zespół Szkół Technicznych Rybnik ")</f>
        <v xml:space="preserve">Zespół Szkół Technicznych Rybnik </v>
      </c>
      <c r="D173" t="str">
        <f ca="1">IFERROR(__xludf.DUMMYFUNCTION("""COMPUTED_VALUE"""),"McGwoździe")</f>
        <v>McGwoździe</v>
      </c>
      <c r="E173" t="str">
        <f ca="1">IFERROR(__xludf.DUMMYFUNCTION("""COMPUTED_VALUE"""),"")</f>
        <v/>
      </c>
      <c r="F173" t="str">
        <f ca="1">IFERROR(__xludf.DUMMYFUNCTION("""COMPUTED_VALUE"""),"")</f>
        <v/>
      </c>
      <c r="G173" t="str">
        <f ca="1">IFERROR(__xludf.DUMMYFUNCTION("""COMPUTED_VALUE"""),"")</f>
        <v/>
      </c>
      <c r="H173" t="str">
        <f ca="1">IFERROR(__xludf.DUMMYFUNCTION("""COMPUTED_VALUE"""),"")</f>
        <v/>
      </c>
      <c r="I173" t="str">
        <f ca="1">IFERROR(__xludf.DUMMYFUNCTION("""COMPUTED_VALUE"""),"")</f>
        <v/>
      </c>
      <c r="J173" t="str">
        <f ca="1">IFERROR(__xludf.DUMMYFUNCTION("""COMPUTED_VALUE"""),"")</f>
        <v/>
      </c>
      <c r="K173" t="str">
        <f ca="1">IFERROR(__xludf.DUMMYFUNCTION("""COMPUTED_VALUE"""),"")</f>
        <v/>
      </c>
      <c r="L173" t="str">
        <f ca="1">IFERROR(__xludf.DUMMYFUNCTION("""COMPUTED_VALUE"""),"")</f>
        <v/>
      </c>
      <c r="M173" t="str">
        <f ca="1">IFERROR(__xludf.DUMMYFUNCTION("""COMPUTED_VALUE"""),"")</f>
        <v/>
      </c>
      <c r="N173" t="str">
        <f ca="1">IFERROR(__xludf.DUMMYFUNCTION("""COMPUTED_VALUE"""),"")</f>
        <v/>
      </c>
      <c r="O173" t="str">
        <f ca="1">IFERROR(__xludf.DUMMYFUNCTION("""COMPUTED_VALUE"""),"")</f>
        <v/>
      </c>
      <c r="P173" t="str">
        <f ca="1">IFERROR(__xludf.DUMMYFUNCTION("""COMPUTED_VALUE"""),"")</f>
        <v/>
      </c>
      <c r="Q173" s="158">
        <f ca="1">IFERROR(__xludf.DUMMYFUNCTION("""COMPUTED_VALUE"""),0.529166666666666)</f>
        <v>0.52916666666666601</v>
      </c>
      <c r="R173" t="str">
        <f ca="1">IFERROR(__xludf.DUMMYFUNCTION("""COMPUTED_VALUE"""),"A")</f>
        <v>A</v>
      </c>
      <c r="S173" s="158">
        <f ca="1">IFERROR(__xludf.DUMMYFUNCTION("""COMPUTED_VALUE"""),0.567361111111111)</f>
        <v>0.56736111111111098</v>
      </c>
      <c r="T173" t="str">
        <f ca="1">IFERROR(__xludf.DUMMYFUNCTION("""COMPUTED_VALUE"""),"A")</f>
        <v>A</v>
      </c>
      <c r="U173" t="str">
        <f ca="1">IFERROR(__xludf.DUMMYFUNCTION("""COMPUTED_VALUE"""),"")</f>
        <v/>
      </c>
      <c r="V173" t="str">
        <f ca="1">IFERROR(__xludf.DUMMYFUNCTION("""COMPUTED_VALUE"""),"")</f>
        <v/>
      </c>
      <c r="W173" t="str">
        <f ca="1">IFERROR(__xludf.DUMMYFUNCTION("""COMPUTED_VALUE"""),"")</f>
        <v/>
      </c>
      <c r="X173" t="str">
        <f ca="1">IFERROR(__xludf.DUMMYFUNCTION("""COMPUTED_VALUE"""),"")</f>
        <v/>
      </c>
      <c r="Y173" t="str">
        <f ca="1">IFERROR(__xludf.DUMMYFUNCTION("""COMPUTED_VALUE"""),"SŠ (15-19 years)")</f>
        <v>SŠ (15-19 years)</v>
      </c>
      <c r="Z173" s="158" t="b">
        <f ca="1">IFERROR(__xludf.DUMMYFUNCTION("""COMPUTED_VALUE"""),FALSE)</f>
        <v>0</v>
      </c>
      <c r="AA173" t="b">
        <f ca="1">IFERROR(__xludf.DUMMYFUNCTION("""COMPUTED_VALUE"""),FALSE)</f>
        <v>0</v>
      </c>
      <c r="AB173" t="b">
        <f ca="1">IFERROR(__xludf.DUMMYFUNCTION("""COMPUTED_VALUE"""),FALSE)</f>
        <v>0</v>
      </c>
      <c r="AC173" t="b">
        <f ca="1">IFERROR(__xludf.DUMMYFUNCTION("""COMPUTED_VALUE"""),TRUE)</f>
        <v>1</v>
      </c>
      <c r="AD173" t="b">
        <f ca="1">IFERROR(__xludf.DUMMYFUNCTION("""COMPUTED_VALUE"""),FALSE)</f>
        <v>0</v>
      </c>
      <c r="AE173" t="b">
        <f ca="1">IFERROR(__xludf.DUMMYFUNCTION("""COMPUTED_VALUE"""),FALSE)</f>
        <v>0</v>
      </c>
      <c r="AF173" t="b">
        <f ca="1">IFERROR(__xludf.DUMMYFUNCTION("""COMPUTED_VALUE"""),FALSE)</f>
        <v>0</v>
      </c>
      <c r="AG173" t="str">
        <f ca="1">IFERROR(__xludf.DUMMYFUNCTION("""COMPUTED_VALUE"""),"Sprint - LEGO (drag race - LEGO)")</f>
        <v>Sprint - LEGO (drag race - LEGO)</v>
      </c>
    </row>
    <row r="174" spans="1:33" ht="13.2">
      <c r="A174">
        <f ca="1">IFERROR(__xludf.DUMMYFUNCTION("""COMPUTED_VALUE"""),183)</f>
        <v>183</v>
      </c>
      <c r="B174" t="str">
        <f ca="1">IFERROR(__xludf.DUMMYFUNCTION("""COMPUTED_VALUE"""),"Rybnik (PL)")</f>
        <v>Rybnik (PL)</v>
      </c>
      <c r="C174" t="str">
        <f ca="1">IFERROR(__xludf.DUMMYFUNCTION("""COMPUTED_VALUE"""),"Zespół Szkół Technicznych Rybnik ")</f>
        <v xml:space="preserve">Zespół Szkół Technicznych Rybnik </v>
      </c>
      <c r="D174" t="str">
        <f ca="1">IFERROR(__xludf.DUMMYFUNCTION("""COMPUTED_VALUE"""),"ATMrybnik")</f>
        <v>ATMrybnik</v>
      </c>
      <c r="E174" t="str">
        <f ca="1">IFERROR(__xludf.DUMMYFUNCTION("""COMPUTED_VALUE"""),"")</f>
        <v/>
      </c>
      <c r="F174" t="str">
        <f ca="1">IFERROR(__xludf.DUMMYFUNCTION("""COMPUTED_VALUE"""),"")</f>
        <v/>
      </c>
      <c r="G174" t="str">
        <f ca="1">IFERROR(__xludf.DUMMYFUNCTION("""COMPUTED_VALUE"""),"")</f>
        <v/>
      </c>
      <c r="H174" t="str">
        <f ca="1">IFERROR(__xludf.DUMMYFUNCTION("""COMPUTED_VALUE"""),"")</f>
        <v/>
      </c>
      <c r="I174" t="str">
        <f ca="1">IFERROR(__xludf.DUMMYFUNCTION("""COMPUTED_VALUE"""),"")</f>
        <v/>
      </c>
      <c r="J174" t="str">
        <f ca="1">IFERROR(__xludf.DUMMYFUNCTION("""COMPUTED_VALUE"""),"")</f>
        <v/>
      </c>
      <c r="K174" t="str">
        <f ca="1">IFERROR(__xludf.DUMMYFUNCTION("""COMPUTED_VALUE"""),"")</f>
        <v/>
      </c>
      <c r="L174" t="str">
        <f ca="1">IFERROR(__xludf.DUMMYFUNCTION("""COMPUTED_VALUE"""),"")</f>
        <v/>
      </c>
      <c r="M174" t="str">
        <f ca="1">IFERROR(__xludf.DUMMYFUNCTION("""COMPUTED_VALUE"""),"")</f>
        <v/>
      </c>
      <c r="N174" t="str">
        <f ca="1">IFERROR(__xludf.DUMMYFUNCTION("""COMPUTED_VALUE"""),"")</f>
        <v/>
      </c>
      <c r="O174" t="str">
        <f ca="1">IFERROR(__xludf.DUMMYFUNCTION("""COMPUTED_VALUE"""),"")</f>
        <v/>
      </c>
      <c r="P174" t="str">
        <f ca="1">IFERROR(__xludf.DUMMYFUNCTION("""COMPUTED_VALUE"""),"")</f>
        <v/>
      </c>
      <c r="Q174" s="158">
        <f ca="1">IFERROR(__xludf.DUMMYFUNCTION("""COMPUTED_VALUE"""),0.530555555555555)</f>
        <v>0.530555555555555</v>
      </c>
      <c r="R174" t="str">
        <f ca="1">IFERROR(__xludf.DUMMYFUNCTION("""COMPUTED_VALUE"""),"B")</f>
        <v>B</v>
      </c>
      <c r="S174" s="158">
        <f ca="1">IFERROR(__xludf.DUMMYFUNCTION("""COMPUTED_VALUE"""),0.56875)</f>
        <v>0.56874999999999998</v>
      </c>
      <c r="T174" t="str">
        <f ca="1">IFERROR(__xludf.DUMMYFUNCTION("""COMPUTED_VALUE"""),"B")</f>
        <v>B</v>
      </c>
      <c r="U174" t="str">
        <f ca="1">IFERROR(__xludf.DUMMYFUNCTION("""COMPUTED_VALUE"""),"")</f>
        <v/>
      </c>
      <c r="V174" t="str">
        <f ca="1">IFERROR(__xludf.DUMMYFUNCTION("""COMPUTED_VALUE"""),"")</f>
        <v/>
      </c>
      <c r="W174" t="str">
        <f ca="1">IFERROR(__xludf.DUMMYFUNCTION("""COMPUTED_VALUE"""),"")</f>
        <v/>
      </c>
      <c r="X174" t="str">
        <f ca="1">IFERROR(__xludf.DUMMYFUNCTION("""COMPUTED_VALUE"""),"")</f>
        <v/>
      </c>
      <c r="Y174" t="str">
        <f ca="1">IFERROR(__xludf.DUMMYFUNCTION("""COMPUTED_VALUE"""),"SŠ (15-19 years)")</f>
        <v>SŠ (15-19 years)</v>
      </c>
      <c r="Z174" s="158" t="b">
        <f ca="1">IFERROR(__xludf.DUMMYFUNCTION("""COMPUTED_VALUE"""),FALSE)</f>
        <v>0</v>
      </c>
      <c r="AA174" t="b">
        <f ca="1">IFERROR(__xludf.DUMMYFUNCTION("""COMPUTED_VALUE"""),FALSE)</f>
        <v>0</v>
      </c>
      <c r="AB174" t="b">
        <f ca="1">IFERROR(__xludf.DUMMYFUNCTION("""COMPUTED_VALUE"""),FALSE)</f>
        <v>0</v>
      </c>
      <c r="AC174" t="b">
        <f ca="1">IFERROR(__xludf.DUMMYFUNCTION("""COMPUTED_VALUE"""),TRUE)</f>
        <v>1</v>
      </c>
      <c r="AD174" t="b">
        <f ca="1">IFERROR(__xludf.DUMMYFUNCTION("""COMPUTED_VALUE"""),FALSE)</f>
        <v>0</v>
      </c>
      <c r="AE174" t="b">
        <f ca="1">IFERROR(__xludf.DUMMYFUNCTION("""COMPUTED_VALUE"""),FALSE)</f>
        <v>0</v>
      </c>
      <c r="AF174" t="b">
        <f ca="1">IFERROR(__xludf.DUMMYFUNCTION("""COMPUTED_VALUE"""),FALSE)</f>
        <v>0</v>
      </c>
      <c r="AG174" t="str">
        <f ca="1">IFERROR(__xludf.DUMMYFUNCTION("""COMPUTED_VALUE"""),"Sprint - LEGO (drag race - LEGO)")</f>
        <v>Sprint - LEGO (drag race - LEGO)</v>
      </c>
    </row>
    <row r="175" spans="1:33" ht="13.2">
      <c r="A175">
        <f ca="1">IFERROR(__xludf.DUMMYFUNCTION("""COMPUTED_VALUE"""),184)</f>
        <v>184</v>
      </c>
      <c r="B175" t="str">
        <f ca="1">IFERROR(__xludf.DUMMYFUNCTION("""COMPUTED_VALUE"""),"Rybnik (PL)")</f>
        <v>Rybnik (PL)</v>
      </c>
      <c r="C175" t="str">
        <f ca="1">IFERROR(__xludf.DUMMYFUNCTION("""COMPUTED_VALUE"""),"Zespół Szkół Technicznych Rybnik ")</f>
        <v xml:space="preserve">Zespół Szkół Technicznych Rybnik </v>
      </c>
      <c r="D175" t="str">
        <f ca="1">IFERROR(__xludf.DUMMYFUNCTION("""COMPUTED_VALUE"""),"ONAROBIHIPHOP")</f>
        <v>ONAROBIHIPHOP</v>
      </c>
      <c r="E175" s="158">
        <f ca="1">IFERROR(__xludf.DUMMYFUNCTION("""COMPUTED_VALUE"""),0.463888888888888)</f>
        <v>0.46388888888888802</v>
      </c>
      <c r="F175" t="str">
        <f ca="1">IFERROR(__xludf.DUMMYFUNCTION("""COMPUTED_VALUE"""),"A")</f>
        <v>A</v>
      </c>
      <c r="G175" s="158">
        <f ca="1">IFERROR(__xludf.DUMMYFUNCTION("""COMPUTED_VALUE"""),0.520833333333333)</f>
        <v>0.52083333333333304</v>
      </c>
      <c r="H175" t="str">
        <f ca="1">IFERROR(__xludf.DUMMYFUNCTION("""COMPUTED_VALUE"""),"A")</f>
        <v>A</v>
      </c>
      <c r="I175" s="158">
        <f ca="1">IFERROR(__xludf.DUMMYFUNCTION("""COMPUTED_VALUE"""),0.608333333333333)</f>
        <v>0.60833333333333295</v>
      </c>
      <c r="J175" t="str">
        <f ca="1">IFERROR(__xludf.DUMMYFUNCTION("""COMPUTED_VALUE"""),"A")</f>
        <v>A</v>
      </c>
      <c r="K175" t="str">
        <f ca="1">IFERROR(__xludf.DUMMYFUNCTION("""COMPUTED_VALUE"""),"")</f>
        <v/>
      </c>
      <c r="L175" t="str">
        <f ca="1">IFERROR(__xludf.DUMMYFUNCTION("""COMPUTED_VALUE"""),"")</f>
        <v/>
      </c>
      <c r="M175" t="str">
        <f ca="1">IFERROR(__xludf.DUMMYFUNCTION("""COMPUTED_VALUE"""),"")</f>
        <v/>
      </c>
      <c r="N175" t="str">
        <f ca="1">IFERROR(__xludf.DUMMYFUNCTION("""COMPUTED_VALUE"""),"")</f>
        <v/>
      </c>
      <c r="O175" t="str">
        <f ca="1">IFERROR(__xludf.DUMMYFUNCTION("""COMPUTED_VALUE"""),"")</f>
        <v/>
      </c>
      <c r="P175" t="str">
        <f ca="1">IFERROR(__xludf.DUMMYFUNCTION("""COMPUTED_VALUE"""),"")</f>
        <v/>
      </c>
      <c r="Q175" t="str">
        <f ca="1">IFERROR(__xludf.DUMMYFUNCTION("""COMPUTED_VALUE"""),"")</f>
        <v/>
      </c>
      <c r="R175" t="str">
        <f ca="1">IFERROR(__xludf.DUMMYFUNCTION("""COMPUTED_VALUE"""),"")</f>
        <v/>
      </c>
      <c r="S175" t="str">
        <f ca="1">IFERROR(__xludf.DUMMYFUNCTION("""COMPUTED_VALUE"""),"")</f>
        <v/>
      </c>
      <c r="T175" t="str">
        <f ca="1">IFERROR(__xludf.DUMMYFUNCTION("""COMPUTED_VALUE"""),"")</f>
        <v/>
      </c>
      <c r="U175" t="str">
        <f ca="1">IFERROR(__xludf.DUMMYFUNCTION("""COMPUTED_VALUE"""),"")</f>
        <v/>
      </c>
      <c r="V175" t="str">
        <f ca="1">IFERROR(__xludf.DUMMYFUNCTION("""COMPUTED_VALUE"""),"")</f>
        <v/>
      </c>
      <c r="W175" t="str">
        <f ca="1">IFERROR(__xludf.DUMMYFUNCTION("""COMPUTED_VALUE"""),"")</f>
        <v/>
      </c>
      <c r="X175" t="str">
        <f ca="1">IFERROR(__xludf.DUMMYFUNCTION("""COMPUTED_VALUE"""),"")</f>
        <v/>
      </c>
      <c r="Y175" t="str">
        <f ca="1">IFERROR(__xludf.DUMMYFUNCTION("""COMPUTED_VALUE"""),"SŠ (15-19 years)")</f>
        <v>SŠ (15-19 years)</v>
      </c>
      <c r="Z175" t="b">
        <f ca="1">IFERROR(__xludf.DUMMYFUNCTION("""COMPUTED_VALUE"""),TRUE)</f>
        <v>1</v>
      </c>
      <c r="AA175" t="b">
        <f ca="1">IFERROR(__xludf.DUMMYFUNCTION("""COMPUTED_VALUE"""),FALSE)</f>
        <v>0</v>
      </c>
      <c r="AB175" t="b">
        <f ca="1">IFERROR(__xludf.DUMMYFUNCTION("""COMPUTED_VALUE"""),FALSE)</f>
        <v>0</v>
      </c>
      <c r="AC175" t="b">
        <f ca="1">IFERROR(__xludf.DUMMYFUNCTION("""COMPUTED_VALUE"""),FALSE)</f>
        <v>0</v>
      </c>
      <c r="AD175" t="b">
        <f ca="1">IFERROR(__xludf.DUMMYFUNCTION("""COMPUTED_VALUE"""),FALSE)</f>
        <v>0</v>
      </c>
      <c r="AE175" t="b">
        <f ca="1">IFERROR(__xludf.DUMMYFUNCTION("""COMPUTED_VALUE"""),FALSE)</f>
        <v>0</v>
      </c>
      <c r="AF175" t="b">
        <f ca="1">IFERROR(__xludf.DUMMYFUNCTION("""COMPUTED_VALUE"""),FALSE)</f>
        <v>0</v>
      </c>
      <c r="AG175" t="str">
        <f ca="1">IFERROR(__xludf.DUMMYFUNCTION("""COMPUTED_VALUE"""),"Čára (line follower)")</f>
        <v>Čára (line follower)</v>
      </c>
    </row>
    <row r="176" spans="1:33" ht="13.2">
      <c r="A176">
        <f ca="1">IFERROR(__xludf.DUMMYFUNCTION("""COMPUTED_VALUE"""),185)</f>
        <v>185</v>
      </c>
      <c r="B176" t="str">
        <f ca="1">IFERROR(__xludf.DUMMYFUNCTION("""COMPUTED_VALUE"""),"Bierun (PL)")</f>
        <v>Bierun (PL)</v>
      </c>
      <c r="C176" t="str">
        <f ca="1">IFERROR(__xludf.DUMMYFUNCTION("""COMPUTED_VALUE"""),"Szkola podstawowa 1 Bieruń")</f>
        <v>Szkola podstawowa 1 Bieruń</v>
      </c>
      <c r="D176" t="str">
        <f ca="1">IFERROR(__xludf.DUMMYFUNCTION("""COMPUTED_VALUE"""),"Pogrom")</f>
        <v>Pogrom</v>
      </c>
      <c r="E176" s="158">
        <f ca="1">IFERROR(__xludf.DUMMYFUNCTION("""COMPUTED_VALUE"""),0.463888888888888)</f>
        <v>0.46388888888888802</v>
      </c>
      <c r="F176" t="str">
        <f ca="1">IFERROR(__xludf.DUMMYFUNCTION("""COMPUTED_VALUE"""),"B")</f>
        <v>B</v>
      </c>
      <c r="G176" s="158">
        <f ca="1">IFERROR(__xludf.DUMMYFUNCTION("""COMPUTED_VALUE"""),0.533333333333333)</f>
        <v>0.53333333333333299</v>
      </c>
      <c r="H176" t="str">
        <f ca="1">IFERROR(__xludf.DUMMYFUNCTION("""COMPUTED_VALUE"""),"B")</f>
        <v>B</v>
      </c>
      <c r="I176" s="158">
        <f ca="1">IFERROR(__xludf.DUMMYFUNCTION("""COMPUTED_VALUE"""),0.608333333333333)</f>
        <v>0.60833333333333295</v>
      </c>
      <c r="J176" t="str">
        <f ca="1">IFERROR(__xludf.DUMMYFUNCTION("""COMPUTED_VALUE"""),"B")</f>
        <v>B</v>
      </c>
      <c r="K176" t="str">
        <f ca="1">IFERROR(__xludf.DUMMYFUNCTION("""COMPUTED_VALUE"""),"")</f>
        <v/>
      </c>
      <c r="L176" t="str">
        <f ca="1">IFERROR(__xludf.DUMMYFUNCTION("""COMPUTED_VALUE"""),"")</f>
        <v/>
      </c>
      <c r="M176" t="str">
        <f ca="1">IFERROR(__xludf.DUMMYFUNCTION("""COMPUTED_VALUE"""),"")</f>
        <v/>
      </c>
      <c r="N176" t="str">
        <f ca="1">IFERROR(__xludf.DUMMYFUNCTION("""COMPUTED_VALUE"""),"")</f>
        <v/>
      </c>
      <c r="O176" t="str">
        <f ca="1">IFERROR(__xludf.DUMMYFUNCTION("""COMPUTED_VALUE"""),"")</f>
        <v/>
      </c>
      <c r="P176" t="str">
        <f ca="1">IFERROR(__xludf.DUMMYFUNCTION("""COMPUTED_VALUE"""),"")</f>
        <v/>
      </c>
      <c r="Q176" t="str">
        <f ca="1">IFERROR(__xludf.DUMMYFUNCTION("""COMPUTED_VALUE"""),"")</f>
        <v/>
      </c>
      <c r="R176" t="str">
        <f ca="1">IFERROR(__xludf.DUMMYFUNCTION("""COMPUTED_VALUE"""),"")</f>
        <v/>
      </c>
      <c r="S176" t="str">
        <f ca="1">IFERROR(__xludf.DUMMYFUNCTION("""COMPUTED_VALUE"""),"")</f>
        <v/>
      </c>
      <c r="T176" t="str">
        <f ca="1">IFERROR(__xludf.DUMMYFUNCTION("""COMPUTED_VALUE"""),"")</f>
        <v/>
      </c>
      <c r="U176" t="str">
        <f ca="1">IFERROR(__xludf.DUMMYFUNCTION("""COMPUTED_VALUE"""),"")</f>
        <v/>
      </c>
      <c r="V176" t="str">
        <f ca="1">IFERROR(__xludf.DUMMYFUNCTION("""COMPUTED_VALUE"""),"")</f>
        <v/>
      </c>
      <c r="W176" t="str">
        <f ca="1">IFERROR(__xludf.DUMMYFUNCTION("""COMPUTED_VALUE"""),"")</f>
        <v/>
      </c>
      <c r="X176" t="str">
        <f ca="1">IFERROR(__xludf.DUMMYFUNCTION("""COMPUTED_VALUE"""),"")</f>
        <v/>
      </c>
      <c r="Y176" t="str">
        <f ca="1">IFERROR(__xludf.DUMMYFUNCTION("""COMPUTED_VALUE"""),"ZŠ (6-15 years)")</f>
        <v>ZŠ (6-15 years)</v>
      </c>
      <c r="Z176" t="b">
        <f ca="1">IFERROR(__xludf.DUMMYFUNCTION("""COMPUTED_VALUE"""),TRUE)</f>
        <v>1</v>
      </c>
      <c r="AA176" t="b">
        <f ca="1">IFERROR(__xludf.DUMMYFUNCTION("""COMPUTED_VALUE"""),FALSE)</f>
        <v>0</v>
      </c>
      <c r="AB176" t="b">
        <f ca="1">IFERROR(__xludf.DUMMYFUNCTION("""COMPUTED_VALUE"""),FALSE)</f>
        <v>0</v>
      </c>
      <c r="AC176" t="b">
        <f ca="1">IFERROR(__xludf.DUMMYFUNCTION("""COMPUTED_VALUE"""),FALSE)</f>
        <v>0</v>
      </c>
      <c r="AD176" t="b">
        <f ca="1">IFERROR(__xludf.DUMMYFUNCTION("""COMPUTED_VALUE"""),FALSE)</f>
        <v>0</v>
      </c>
      <c r="AE176" t="b">
        <f ca="1">IFERROR(__xludf.DUMMYFUNCTION("""COMPUTED_VALUE"""),FALSE)</f>
        <v>0</v>
      </c>
      <c r="AF176" t="b">
        <f ca="1">IFERROR(__xludf.DUMMYFUNCTION("""COMPUTED_VALUE"""),FALSE)</f>
        <v>0</v>
      </c>
      <c r="AG176" t="str">
        <f ca="1">IFERROR(__xludf.DUMMYFUNCTION("""COMPUTED_VALUE"""),"Čára (line follower)")</f>
        <v>Čára (line follower)</v>
      </c>
    </row>
    <row r="177" spans="1:33" ht="13.2">
      <c r="A177">
        <f ca="1">IFERROR(__xludf.DUMMYFUNCTION("""COMPUTED_VALUE"""),186)</f>
        <v>186</v>
      </c>
      <c r="B177" t="str">
        <f ca="1">IFERROR(__xludf.DUMMYFUNCTION("""COMPUTED_VALUE"""),"Świerczyń (PL)")</f>
        <v>Świerczyń (PL)</v>
      </c>
      <c r="C177" t="str">
        <f ca="1">IFERROR(__xludf.DUMMYFUNCTION("""COMPUTED_VALUE"""),"Gmina szkoła w Świerczyńcu")</f>
        <v>Gmina szkoła w Świerczyńcu</v>
      </c>
      <c r="D177" t="str">
        <f ca="1">IFERROR(__xludf.DUMMYFUNCTION("""COMPUTED_VALUE"""),"rozwalone tryby")</f>
        <v>rozwalone tryby</v>
      </c>
      <c r="E177" s="158">
        <f ca="1">IFERROR(__xludf.DUMMYFUNCTION("""COMPUTED_VALUE"""),0.465277777777777)</f>
        <v>0.46527777777777701</v>
      </c>
      <c r="F177" t="str">
        <f ca="1">IFERROR(__xludf.DUMMYFUNCTION("""COMPUTED_VALUE"""),"A")</f>
        <v>A</v>
      </c>
      <c r="G177" s="158">
        <f ca="1">IFERROR(__xludf.DUMMYFUNCTION("""COMPUTED_VALUE"""),0.519444444444444)</f>
        <v>0.51944444444444404</v>
      </c>
      <c r="H177" t="str">
        <f ca="1">IFERROR(__xludf.DUMMYFUNCTION("""COMPUTED_VALUE"""),"A")</f>
        <v>A</v>
      </c>
      <c r="I177" s="158">
        <f ca="1">IFERROR(__xludf.DUMMYFUNCTION("""COMPUTED_VALUE"""),0.609722222222222)</f>
        <v>0.60972222222222205</v>
      </c>
      <c r="J177" t="str">
        <f ca="1">IFERROR(__xludf.DUMMYFUNCTION("""COMPUTED_VALUE"""),"A")</f>
        <v>A</v>
      </c>
      <c r="K177" t="str">
        <f ca="1">IFERROR(__xludf.DUMMYFUNCTION("""COMPUTED_VALUE"""),"")</f>
        <v/>
      </c>
      <c r="L177" t="str">
        <f ca="1">IFERROR(__xludf.DUMMYFUNCTION("""COMPUTED_VALUE"""),"")</f>
        <v/>
      </c>
      <c r="M177" t="str">
        <f ca="1">IFERROR(__xludf.DUMMYFUNCTION("""COMPUTED_VALUE"""),"")</f>
        <v/>
      </c>
      <c r="N177" t="str">
        <f ca="1">IFERROR(__xludf.DUMMYFUNCTION("""COMPUTED_VALUE"""),"")</f>
        <v/>
      </c>
      <c r="O177" t="str">
        <f ca="1">IFERROR(__xludf.DUMMYFUNCTION("""COMPUTED_VALUE"""),"")</f>
        <v/>
      </c>
      <c r="P177" t="str">
        <f ca="1">IFERROR(__xludf.DUMMYFUNCTION("""COMPUTED_VALUE"""),"")</f>
        <v/>
      </c>
      <c r="Q177" t="str">
        <f ca="1">IFERROR(__xludf.DUMMYFUNCTION("""COMPUTED_VALUE"""),"")</f>
        <v/>
      </c>
      <c r="R177" t="str">
        <f ca="1">IFERROR(__xludf.DUMMYFUNCTION("""COMPUTED_VALUE"""),"")</f>
        <v/>
      </c>
      <c r="S177" t="str">
        <f ca="1">IFERROR(__xludf.DUMMYFUNCTION("""COMPUTED_VALUE"""),"")</f>
        <v/>
      </c>
      <c r="T177" t="str">
        <f ca="1">IFERROR(__xludf.DUMMYFUNCTION("""COMPUTED_VALUE"""),"")</f>
        <v/>
      </c>
      <c r="U177" t="str">
        <f ca="1">IFERROR(__xludf.DUMMYFUNCTION("""COMPUTED_VALUE"""),"")</f>
        <v/>
      </c>
      <c r="V177" t="str">
        <f ca="1">IFERROR(__xludf.DUMMYFUNCTION("""COMPUTED_VALUE"""),"")</f>
        <v/>
      </c>
      <c r="W177" t="str">
        <f ca="1">IFERROR(__xludf.DUMMYFUNCTION("""COMPUTED_VALUE"""),"")</f>
        <v/>
      </c>
      <c r="X177" t="str">
        <f ca="1">IFERROR(__xludf.DUMMYFUNCTION("""COMPUTED_VALUE"""),"")</f>
        <v/>
      </c>
      <c r="Y177" t="str">
        <f ca="1">IFERROR(__xludf.DUMMYFUNCTION("""COMPUTED_VALUE"""),"ZŠ (6-15 years)")</f>
        <v>ZŠ (6-15 years)</v>
      </c>
      <c r="Z177" t="b">
        <f ca="1">IFERROR(__xludf.DUMMYFUNCTION("""COMPUTED_VALUE"""),TRUE)</f>
        <v>1</v>
      </c>
      <c r="AA177" t="b">
        <f ca="1">IFERROR(__xludf.DUMMYFUNCTION("""COMPUTED_VALUE"""),FALSE)</f>
        <v>0</v>
      </c>
      <c r="AB177" t="b">
        <f ca="1">IFERROR(__xludf.DUMMYFUNCTION("""COMPUTED_VALUE"""),FALSE)</f>
        <v>0</v>
      </c>
      <c r="AC177" t="b">
        <f ca="1">IFERROR(__xludf.DUMMYFUNCTION("""COMPUTED_VALUE"""),FALSE)</f>
        <v>0</v>
      </c>
      <c r="AD177" t="b">
        <f ca="1">IFERROR(__xludf.DUMMYFUNCTION("""COMPUTED_VALUE"""),FALSE)</f>
        <v>0</v>
      </c>
      <c r="AE177" t="b">
        <f ca="1">IFERROR(__xludf.DUMMYFUNCTION("""COMPUTED_VALUE"""),FALSE)</f>
        <v>0</v>
      </c>
      <c r="AF177" t="b">
        <f ca="1">IFERROR(__xludf.DUMMYFUNCTION("""COMPUTED_VALUE"""),FALSE)</f>
        <v>0</v>
      </c>
      <c r="AG177" t="str">
        <f ca="1">IFERROR(__xludf.DUMMYFUNCTION("""COMPUTED_VALUE"""),"Čára (line follower)")</f>
        <v>Čára (line follower)</v>
      </c>
    </row>
    <row r="178" spans="1:33" ht="13.2">
      <c r="A178">
        <f ca="1">IFERROR(__xludf.DUMMYFUNCTION("""COMPUTED_VALUE"""),187)</f>
        <v>187</v>
      </c>
      <c r="B178" t="str">
        <f ca="1">IFERROR(__xludf.DUMMYFUNCTION("""COMPUTED_VALUE"""),"Bierun (PL)")</f>
        <v>Bierun (PL)</v>
      </c>
      <c r="C178" t="str">
        <f ca="1">IFERROR(__xludf.DUMMYFUNCTION("""COMPUTED_VALUE"""),"Szkola podstawowa 1 Bieruń")</f>
        <v>Szkola podstawowa 1 Bieruń</v>
      </c>
      <c r="D178" t="str">
        <f ca="1">IFERROR(__xludf.DUMMYFUNCTION("""COMPUTED_VALUE"""),"Profesionalna robota ")</f>
        <v xml:space="preserve">Profesionalna robota </v>
      </c>
      <c r="E178" s="158">
        <f ca="1">IFERROR(__xludf.DUMMYFUNCTION("""COMPUTED_VALUE"""),0.465277777777777)</f>
        <v>0.46527777777777701</v>
      </c>
      <c r="F178" t="str">
        <f ca="1">IFERROR(__xludf.DUMMYFUNCTION("""COMPUTED_VALUE"""),"B")</f>
        <v>B</v>
      </c>
      <c r="G178" s="158">
        <f ca="1">IFERROR(__xludf.DUMMYFUNCTION("""COMPUTED_VALUE"""),0.534722222222222)</f>
        <v>0.53472222222222199</v>
      </c>
      <c r="H178" t="str">
        <f ca="1">IFERROR(__xludf.DUMMYFUNCTION("""COMPUTED_VALUE"""),"B")</f>
        <v>B</v>
      </c>
      <c r="I178" s="158">
        <f ca="1">IFERROR(__xludf.DUMMYFUNCTION("""COMPUTED_VALUE"""),0.609722222222222)</f>
        <v>0.60972222222222205</v>
      </c>
      <c r="J178" t="str">
        <f ca="1">IFERROR(__xludf.DUMMYFUNCTION("""COMPUTED_VALUE"""),"B")</f>
        <v>B</v>
      </c>
      <c r="K178" t="str">
        <f ca="1">IFERROR(__xludf.DUMMYFUNCTION("""COMPUTED_VALUE"""),"")</f>
        <v/>
      </c>
      <c r="L178" t="str">
        <f ca="1">IFERROR(__xludf.DUMMYFUNCTION("""COMPUTED_VALUE"""),"")</f>
        <v/>
      </c>
      <c r="M178" t="str">
        <f ca="1">IFERROR(__xludf.DUMMYFUNCTION("""COMPUTED_VALUE"""),"")</f>
        <v/>
      </c>
      <c r="N178" t="str">
        <f ca="1">IFERROR(__xludf.DUMMYFUNCTION("""COMPUTED_VALUE"""),"")</f>
        <v/>
      </c>
      <c r="O178" t="str">
        <f ca="1">IFERROR(__xludf.DUMMYFUNCTION("""COMPUTED_VALUE"""),"")</f>
        <v/>
      </c>
      <c r="P178" t="str">
        <f ca="1">IFERROR(__xludf.DUMMYFUNCTION("""COMPUTED_VALUE"""),"")</f>
        <v/>
      </c>
      <c r="Q178" t="str">
        <f ca="1">IFERROR(__xludf.DUMMYFUNCTION("""COMPUTED_VALUE"""),"")</f>
        <v/>
      </c>
      <c r="R178" t="str">
        <f ca="1">IFERROR(__xludf.DUMMYFUNCTION("""COMPUTED_VALUE"""),"")</f>
        <v/>
      </c>
      <c r="S178" t="str">
        <f ca="1">IFERROR(__xludf.DUMMYFUNCTION("""COMPUTED_VALUE"""),"")</f>
        <v/>
      </c>
      <c r="T178" t="str">
        <f ca="1">IFERROR(__xludf.DUMMYFUNCTION("""COMPUTED_VALUE"""),"")</f>
        <v/>
      </c>
      <c r="U178" t="str">
        <f ca="1">IFERROR(__xludf.DUMMYFUNCTION("""COMPUTED_VALUE"""),"")</f>
        <v/>
      </c>
      <c r="V178" t="str">
        <f ca="1">IFERROR(__xludf.DUMMYFUNCTION("""COMPUTED_VALUE"""),"")</f>
        <v/>
      </c>
      <c r="W178" t="str">
        <f ca="1">IFERROR(__xludf.DUMMYFUNCTION("""COMPUTED_VALUE"""),"")</f>
        <v/>
      </c>
      <c r="X178" t="str">
        <f ca="1">IFERROR(__xludf.DUMMYFUNCTION("""COMPUTED_VALUE"""),"")</f>
        <v/>
      </c>
      <c r="Y178" t="str">
        <f ca="1">IFERROR(__xludf.DUMMYFUNCTION("""COMPUTED_VALUE"""),"ZŠ (6-15 years)")</f>
        <v>ZŠ (6-15 years)</v>
      </c>
      <c r="Z178" t="b">
        <f ca="1">IFERROR(__xludf.DUMMYFUNCTION("""COMPUTED_VALUE"""),TRUE)</f>
        <v>1</v>
      </c>
      <c r="AA178" t="b">
        <f ca="1">IFERROR(__xludf.DUMMYFUNCTION("""COMPUTED_VALUE"""),FALSE)</f>
        <v>0</v>
      </c>
      <c r="AB178" t="b">
        <f ca="1">IFERROR(__xludf.DUMMYFUNCTION("""COMPUTED_VALUE"""),FALSE)</f>
        <v>0</v>
      </c>
      <c r="AC178" t="b">
        <f ca="1">IFERROR(__xludf.DUMMYFUNCTION("""COMPUTED_VALUE"""),FALSE)</f>
        <v>0</v>
      </c>
      <c r="AD178" t="b">
        <f ca="1">IFERROR(__xludf.DUMMYFUNCTION("""COMPUTED_VALUE"""),FALSE)</f>
        <v>0</v>
      </c>
      <c r="AE178" t="b">
        <f ca="1">IFERROR(__xludf.DUMMYFUNCTION("""COMPUTED_VALUE"""),FALSE)</f>
        <v>0</v>
      </c>
      <c r="AF178" t="b">
        <f ca="1">IFERROR(__xludf.DUMMYFUNCTION("""COMPUTED_VALUE"""),FALSE)</f>
        <v>0</v>
      </c>
      <c r="AG178" t="str">
        <f ca="1">IFERROR(__xludf.DUMMYFUNCTION("""COMPUTED_VALUE"""),"Čára (line follower)")</f>
        <v>Čára (line follower)</v>
      </c>
    </row>
    <row r="179" spans="1:33" ht="13.2">
      <c r="A179">
        <f ca="1">IFERROR(__xludf.DUMMYFUNCTION("""COMPUTED_VALUE"""),188)</f>
        <v>188</v>
      </c>
      <c r="B179" t="str">
        <f ca="1">IFERROR(__xludf.DUMMYFUNCTION("""COMPUTED_VALUE"""),"Ostrava")</f>
        <v>Ostrava</v>
      </c>
      <c r="C179" t="str">
        <f ca="1">IFERROR(__xludf.DUMMYFUNCTION("""COMPUTED_VALUE"""),"Kroužky kybernetiky VŠB Ostrava")</f>
        <v>Kroužky kybernetiky VŠB Ostrava</v>
      </c>
      <c r="D179" t="str">
        <f ca="1">IFERROR(__xludf.DUMMYFUNCTION("""COMPUTED_VALUE"""),"Kyberneťáci")</f>
        <v>Kyberneťáci</v>
      </c>
      <c r="E179" t="str">
        <f ca="1">IFERROR(__xludf.DUMMYFUNCTION("""COMPUTED_VALUE"""),"")</f>
        <v/>
      </c>
      <c r="F179" t="str">
        <f ca="1">IFERROR(__xludf.DUMMYFUNCTION("""COMPUTED_VALUE"""),"")</f>
        <v/>
      </c>
      <c r="G179" t="str">
        <f ca="1">IFERROR(__xludf.DUMMYFUNCTION("""COMPUTED_VALUE"""),"")</f>
        <v/>
      </c>
      <c r="H179" t="str">
        <f ca="1">IFERROR(__xludf.DUMMYFUNCTION("""COMPUTED_VALUE"""),"")</f>
        <v/>
      </c>
      <c r="I179" t="str">
        <f ca="1">IFERROR(__xludf.DUMMYFUNCTION("""COMPUTED_VALUE"""),"")</f>
        <v/>
      </c>
      <c r="J179" t="str">
        <f ca="1">IFERROR(__xludf.DUMMYFUNCTION("""COMPUTED_VALUE"""),"")</f>
        <v/>
      </c>
      <c r="K179" t="str">
        <f ca="1">IFERROR(__xludf.DUMMYFUNCTION("""COMPUTED_VALUE"""),"")</f>
        <v/>
      </c>
      <c r="L179" t="str">
        <f ca="1">IFERROR(__xludf.DUMMYFUNCTION("""COMPUTED_VALUE"""),"")</f>
        <v/>
      </c>
      <c r="M179" t="str">
        <f ca="1">IFERROR(__xludf.DUMMYFUNCTION("""COMPUTED_VALUE"""),"")</f>
        <v/>
      </c>
      <c r="N179" t="str">
        <f ca="1">IFERROR(__xludf.DUMMYFUNCTION("""COMPUTED_VALUE"""),"")</f>
        <v/>
      </c>
      <c r="O179" s="158">
        <f ca="1">IFERROR(__xludf.DUMMYFUNCTION("""COMPUTED_VALUE"""),0.515277777777777)</f>
        <v>0.51527777777777695</v>
      </c>
      <c r="P179" t="str">
        <f ca="1">IFERROR(__xludf.DUMMYFUNCTION("""COMPUTED_VALUE"""),"B")</f>
        <v>B</v>
      </c>
      <c r="Q179" s="158">
        <f ca="1">IFERROR(__xludf.DUMMYFUNCTION("""COMPUTED_VALUE"""),0.529861111111111)</f>
        <v>0.52986111111111101</v>
      </c>
      <c r="R179" t="str">
        <f ca="1">IFERROR(__xludf.DUMMYFUNCTION("""COMPUTED_VALUE"""),"A")</f>
        <v>A</v>
      </c>
      <c r="S179" s="158">
        <f ca="1">IFERROR(__xludf.DUMMYFUNCTION("""COMPUTED_VALUE"""),0.568055555555555)</f>
        <v>0.56805555555555498</v>
      </c>
      <c r="T179" t="str">
        <f ca="1">IFERROR(__xludf.DUMMYFUNCTION("""COMPUTED_VALUE"""),"A")</f>
        <v>A</v>
      </c>
      <c r="U179" t="str">
        <f ca="1">IFERROR(__xludf.DUMMYFUNCTION("""COMPUTED_VALUE"""),"")</f>
        <v/>
      </c>
      <c r="V179" t="str">
        <f ca="1">IFERROR(__xludf.DUMMYFUNCTION("""COMPUTED_VALUE"""),"")</f>
        <v/>
      </c>
      <c r="W179" t="str">
        <f ca="1">IFERROR(__xludf.DUMMYFUNCTION("""COMPUTED_VALUE"""),"")</f>
        <v/>
      </c>
      <c r="X179" t="str">
        <f ca="1">IFERROR(__xludf.DUMMYFUNCTION("""COMPUTED_VALUE"""),"")</f>
        <v/>
      </c>
      <c r="Y179" t="str">
        <f ca="1">IFERROR(__xludf.DUMMYFUNCTION("""COMPUTED_VALUE"""),"SŠ")</f>
        <v>SŠ</v>
      </c>
      <c r="Z179" t="b">
        <f ca="1">IFERROR(__xludf.DUMMYFUNCTION("""COMPUTED_VALUE"""),FALSE)</f>
        <v>0</v>
      </c>
      <c r="AA179" t="b">
        <f ca="1">IFERROR(__xludf.DUMMYFUNCTION("""COMPUTED_VALUE"""),FALSE)</f>
        <v>0</v>
      </c>
      <c r="AB179" t="b">
        <f ca="1">IFERROR(__xludf.DUMMYFUNCTION("""COMPUTED_VALUE"""),TRUE)</f>
        <v>1</v>
      </c>
      <c r="AC179" t="b">
        <f ca="1">IFERROR(__xludf.DUMMYFUNCTION("""COMPUTED_VALUE"""),TRUE)</f>
        <v>1</v>
      </c>
      <c r="AD179" t="b">
        <f ca="1">IFERROR(__xludf.DUMMYFUNCTION("""COMPUTED_VALUE"""),FALSE)</f>
        <v>0</v>
      </c>
      <c r="AE179" t="b">
        <f ca="1">IFERROR(__xludf.DUMMYFUNCTION("""COMPUTED_VALUE"""),FALSE)</f>
        <v>0</v>
      </c>
      <c r="AF179" t="b">
        <f ca="1">IFERROR(__xludf.DUMMYFUNCTION("""COMPUTED_VALUE"""),FALSE)</f>
        <v>0</v>
      </c>
      <c r="AG179" t="str">
        <f ca="1">IFERROR(__xludf.DUMMYFUNCTION("""COMPUTED_VALUE"""),"Dálkový medvěd (bear rescue), Sprint - LEGO (drag race - LEGO)")</f>
        <v>Dálkový medvěd (bear rescue), Sprint - LEGO (drag race - LEGO)</v>
      </c>
    </row>
  </sheetData>
  <hyperlinks>
    <hyperlink ref="D23" r:id="rId1" display="http://robomaker.com.ua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outlinePr summaryBelow="0" summaryRight="0"/>
  </sheetPr>
  <dimension ref="A1:J61"/>
  <sheetViews>
    <sheetView workbookViewId="0">
      <pane ySplit="2" topLeftCell="A3" activePane="bottomLeft" state="frozen"/>
      <selection pane="bottomLeft" activeCell="B4" sqref="B4"/>
    </sheetView>
  </sheetViews>
  <sheetFormatPr defaultColWidth="14.44140625" defaultRowHeight="15.75" customHeight="1"/>
  <cols>
    <col min="1" max="1" width="11.44140625" customWidth="1"/>
    <col min="2" max="2" width="21.6640625" customWidth="1"/>
    <col min="3" max="3" width="28.44140625" customWidth="1"/>
    <col min="4" max="4" width="11.109375" customWidth="1"/>
    <col min="6" max="10" width="8.33203125" customWidth="1"/>
  </cols>
  <sheetData>
    <row r="1" spans="1:10" ht="13.2">
      <c r="A1" s="171" t="s">
        <v>0</v>
      </c>
      <c r="B1" s="167"/>
      <c r="C1" s="167"/>
      <c r="D1" s="167"/>
      <c r="E1" s="168"/>
      <c r="F1" s="172" t="s">
        <v>3</v>
      </c>
      <c r="G1" s="170"/>
      <c r="H1" s="170"/>
      <c r="I1" s="170"/>
      <c r="J1" s="170"/>
    </row>
    <row r="2" spans="1:10" ht="16.5" customHeight="1">
      <c r="A2" s="3" t="s">
        <v>5</v>
      </c>
      <c r="B2" s="3" t="s">
        <v>6</v>
      </c>
      <c r="C2" s="3" t="s">
        <v>7</v>
      </c>
      <c r="D2" s="3" t="s">
        <v>8</v>
      </c>
      <c r="E2" s="3" t="s">
        <v>9</v>
      </c>
      <c r="F2" s="4">
        <v>1</v>
      </c>
      <c r="G2" s="4">
        <v>2</v>
      </c>
      <c r="H2" s="4">
        <v>3</v>
      </c>
      <c r="I2" s="4">
        <v>4</v>
      </c>
      <c r="J2" s="4">
        <v>5</v>
      </c>
    </row>
    <row r="3" spans="1:10" ht="26.25" customHeight="1">
      <c r="A3" s="5">
        <f ca="1">IFERROR(__xludf.DUMMYFUNCTION("query(Data,""select A,D,C,Y where AB = TRUE"")"),19)</f>
        <v>19</v>
      </c>
      <c r="B3" s="6" t="str">
        <f ca="1">IFERROR(__xludf.DUMMYFUNCTION("""COMPUTED_VALUE"""),"ERA")</f>
        <v>ERA</v>
      </c>
      <c r="C3" s="6" t="str">
        <f ca="1">IFERROR(__xludf.DUMMYFUNCTION("""COMPUTED_VALUE"""),"Klub sportovní robotiky ""RoboMaker"" Bilohorodka (UA)")</f>
        <v>Klub sportovní robotiky "RoboMaker" Bilohorodka (UA)</v>
      </c>
      <c r="D3" s="8" t="str">
        <f ca="1">IFERROR(__xludf.DUMMYFUNCTION("""COMPUTED_VALUE"""),"ZŠ")</f>
        <v>ZŠ</v>
      </c>
      <c r="E3" s="10">
        <f t="shared" ref="E3:E61" si="0">MIN(F3:J3)</f>
        <v>2.3611111111111109E-4</v>
      </c>
      <c r="F3" s="12">
        <v>2.3611111111111109E-4</v>
      </c>
      <c r="G3" s="12">
        <v>2.8020833333333332E-4</v>
      </c>
      <c r="H3" s="12">
        <v>3.0949074074074071E-4</v>
      </c>
      <c r="I3" s="12"/>
      <c r="J3" s="12">
        <v>4.1666666666666664E-2</v>
      </c>
    </row>
    <row r="4" spans="1:10" ht="30" customHeight="1">
      <c r="A4" s="15">
        <f ca="1">IFERROR(__xludf.DUMMYFUNCTION("""COMPUTED_VALUE"""),21)</f>
        <v>21</v>
      </c>
      <c r="B4" s="17" t="str">
        <f ca="1">IFERROR(__xludf.DUMMYFUNCTION("""COMPUTED_VALUE"""),"Crystal Cat")</f>
        <v>Crystal Cat</v>
      </c>
      <c r="C4" s="17" t="str">
        <f ca="1">IFERROR(__xludf.DUMMYFUNCTION("""COMPUTED_VALUE"""),"Klub sportovní robotiky ""RoboMaker"" Kyjev (UA)")</f>
        <v>Klub sportovní robotiky "RoboMaker" Kyjev (UA)</v>
      </c>
      <c r="D4" s="24" t="str">
        <f ca="1">IFERROR(__xludf.DUMMYFUNCTION("""COMPUTED_VALUE"""),"ZŠ")</f>
        <v>ZŠ</v>
      </c>
      <c r="E4" s="10">
        <f t="shared" si="0"/>
        <v>1.7604166666666669E-4</v>
      </c>
      <c r="F4" s="12">
        <v>1.7604166666666669E-4</v>
      </c>
      <c r="G4" s="12">
        <v>2.1064814814814815E-4</v>
      </c>
      <c r="H4" s="12">
        <v>2.0509259259259257E-4</v>
      </c>
      <c r="I4" s="12"/>
      <c r="J4" s="12">
        <v>4.1666666666666664E-2</v>
      </c>
    </row>
    <row r="5" spans="1:10" ht="27.6">
      <c r="A5" s="15">
        <f ca="1">IFERROR(__xludf.DUMMYFUNCTION("""COMPUTED_VALUE"""),24)</f>
        <v>24</v>
      </c>
      <c r="B5" s="17" t="str">
        <f ca="1">IFERROR(__xludf.DUMMYFUNCTION("""COMPUTED_VALUE"""),"KiborgsUA_JR")</f>
        <v>KiborgsUA_JR</v>
      </c>
      <c r="C5" s="17" t="str">
        <f ca="1">IFERROR(__xludf.DUMMYFUNCTION("""COMPUTED_VALUE"""),"Lucenkovo Čerkaské gymnázium №9 (UA)")</f>
        <v>Lucenkovo Čerkaské gymnázium №9 (UA)</v>
      </c>
      <c r="D5" s="24" t="str">
        <f ca="1">IFERROR(__xludf.DUMMYFUNCTION("""COMPUTED_VALUE"""),"ZŠ")</f>
        <v>ZŠ</v>
      </c>
      <c r="E5" s="10">
        <f t="shared" si="0"/>
        <v>4.5416666666666668E-4</v>
      </c>
      <c r="F5" s="12">
        <v>4.5416666666666668E-4</v>
      </c>
      <c r="G5" s="12">
        <v>4.6342592592592594E-4</v>
      </c>
      <c r="H5" s="12"/>
      <c r="I5" s="12"/>
      <c r="J5" s="12">
        <v>4.1666666666666664E-2</v>
      </c>
    </row>
    <row r="6" spans="1:10" ht="13.8">
      <c r="A6" s="15">
        <f ca="1">IFERROR(__xludf.DUMMYFUNCTION("""COMPUTED_VALUE"""),32)</f>
        <v>32</v>
      </c>
      <c r="B6" s="28" t="str">
        <f ca="1">IFERROR(__xludf.DUMMYFUNCTION("""COMPUTED_VALUE"""),"AdaBots")</f>
        <v>AdaBots</v>
      </c>
      <c r="C6" s="28" t="str">
        <f ca="1">IFERROR(__xludf.DUMMYFUNCTION("""COMPUTED_VALUE"""),"rodinný tým")</f>
        <v>rodinný tým</v>
      </c>
      <c r="D6" s="33" t="str">
        <f ca="1">IFERROR(__xludf.DUMMYFUNCTION("""COMPUTED_VALUE"""),"ZŠ")</f>
        <v>ZŠ</v>
      </c>
      <c r="E6" s="10">
        <f t="shared" si="0"/>
        <v>4.1666666666666664E-2</v>
      </c>
      <c r="F6" s="31"/>
      <c r="G6" s="12"/>
      <c r="H6" s="12"/>
      <c r="I6" s="12"/>
      <c r="J6" s="12">
        <v>4.1666666666666664E-2</v>
      </c>
    </row>
    <row r="7" spans="1:10" ht="13.8">
      <c r="A7" s="15">
        <f ca="1">IFERROR(__xludf.DUMMYFUNCTION("""COMPUTED_VALUE"""),39)</f>
        <v>39</v>
      </c>
      <c r="B7" s="17" t="str">
        <f ca="1">IFERROR(__xludf.DUMMYFUNCTION("""COMPUTED_VALUE"""),"AZYG")</f>
        <v>AZYG</v>
      </c>
      <c r="C7" s="28" t="str">
        <f ca="1">IFERROR(__xludf.DUMMYFUNCTION("""COMPUTED_VALUE"""),"Gymnázium Zábřeh")</f>
        <v>Gymnázium Zábřeh</v>
      </c>
      <c r="D7" s="24" t="str">
        <f ca="1">IFERROR(__xludf.DUMMYFUNCTION("""COMPUTED_VALUE"""),"ZŠ")</f>
        <v>ZŠ</v>
      </c>
      <c r="E7" s="10">
        <f t="shared" si="0"/>
        <v>1.0834490740740741E-3</v>
      </c>
      <c r="F7" s="12">
        <v>1.0834490740740741E-3</v>
      </c>
      <c r="G7" s="12"/>
      <c r="H7" s="12"/>
      <c r="I7" s="12"/>
      <c r="J7" s="12">
        <v>4.1666666666666664E-2</v>
      </c>
    </row>
    <row r="8" spans="1:10" ht="27.6">
      <c r="A8" s="15">
        <f ca="1">IFERROR(__xludf.DUMMYFUNCTION("""COMPUTED_VALUE"""),40)</f>
        <v>40</v>
      </c>
      <c r="B8" s="17" t="str">
        <f ca="1">IFERROR(__xludf.DUMMYFUNCTION("""COMPUTED_VALUE"""),"Ještě ráno to fungovalo")</f>
        <v>Ještě ráno to fungovalo</v>
      </c>
      <c r="C8" s="28" t="str">
        <f ca="1">IFERROR(__xludf.DUMMYFUNCTION("""COMPUTED_VALUE"""),"Gymnázium Zábřeh")</f>
        <v>Gymnázium Zábřeh</v>
      </c>
      <c r="D8" s="24" t="str">
        <f ca="1">IFERROR(__xludf.DUMMYFUNCTION("""COMPUTED_VALUE"""),"ZŠ")</f>
        <v>ZŠ</v>
      </c>
      <c r="E8" s="10">
        <f t="shared" si="0"/>
        <v>4.1666666666666664E-2</v>
      </c>
      <c r="F8" s="12"/>
      <c r="G8" s="12"/>
      <c r="H8" s="12"/>
      <c r="I8" s="12"/>
      <c r="J8" s="12">
        <v>4.1666666666666664E-2</v>
      </c>
    </row>
    <row r="9" spans="1:10" ht="13.8">
      <c r="A9" s="15">
        <f ca="1">IFERROR(__xludf.DUMMYFUNCTION("""COMPUTED_VALUE"""),50)</f>
        <v>50</v>
      </c>
      <c r="B9" s="17" t="str">
        <f ca="1">IFERROR(__xludf.DUMMYFUNCTION("""COMPUTED_VALUE"""),"Lišáci z Vrchlabí")</f>
        <v>Lišáci z Vrchlabí</v>
      </c>
      <c r="C9" s="28" t="str">
        <f ca="1">IFERROR(__xludf.DUMMYFUNCTION("""COMPUTED_VALUE"""),"ZŠ Školní Vrchlabí")</f>
        <v>ZŠ Školní Vrchlabí</v>
      </c>
      <c r="D9" s="24" t="str">
        <f ca="1">IFERROR(__xludf.DUMMYFUNCTION("""COMPUTED_VALUE"""),"ZŠ")</f>
        <v>ZŠ</v>
      </c>
      <c r="E9" s="10">
        <f t="shared" si="0"/>
        <v>3.8472222222222223E-4</v>
      </c>
      <c r="F9" s="12">
        <v>3.8472222222222223E-4</v>
      </c>
      <c r="G9" s="12">
        <v>4.1678240740740738E-4</v>
      </c>
      <c r="H9" s="12"/>
      <c r="I9" s="12"/>
      <c r="J9" s="12">
        <v>4.1666666666666664E-2</v>
      </c>
    </row>
    <row r="10" spans="1:10" ht="13.8">
      <c r="A10" s="15">
        <f ca="1">IFERROR(__xludf.DUMMYFUNCTION("""COMPUTED_VALUE"""),51)</f>
        <v>51</v>
      </c>
      <c r="B10" s="17" t="str">
        <f ca="1">IFERROR(__xludf.DUMMYFUNCTION("""COMPUTED_VALUE"""),"Elektronky z Vrchlabí")</f>
        <v>Elektronky z Vrchlabí</v>
      </c>
      <c r="C10" s="17" t="str">
        <f ca="1">IFERROR(__xludf.DUMMYFUNCTION("""COMPUTED_VALUE"""),"ZŠ Školní Vrchlabí")</f>
        <v>ZŠ Školní Vrchlabí</v>
      </c>
      <c r="D10" s="24" t="str">
        <f ca="1">IFERROR(__xludf.DUMMYFUNCTION("""COMPUTED_VALUE"""),"ZŠ")</f>
        <v>ZŠ</v>
      </c>
      <c r="E10" s="10">
        <f t="shared" si="0"/>
        <v>4.1666666666666664E-2</v>
      </c>
      <c r="F10" s="31"/>
      <c r="G10" s="12"/>
      <c r="H10" s="12"/>
      <c r="I10" s="12"/>
      <c r="J10" s="12">
        <v>4.1666666666666664E-2</v>
      </c>
    </row>
    <row r="11" spans="1:10" ht="27.6">
      <c r="A11" s="15">
        <f ca="1">IFERROR(__xludf.DUMMYFUNCTION("""COMPUTED_VALUE"""),61)</f>
        <v>61</v>
      </c>
      <c r="B11" s="17" t="str">
        <f ca="1">IFERROR(__xludf.DUMMYFUNCTION("""COMPUTED_VALUE"""),"TD")</f>
        <v>TD</v>
      </c>
      <c r="C11" s="17" t="str">
        <f ca="1">IFERROR(__xludf.DUMMYFUNCTION("""COMPUTED_VALUE"""),"Katolícka spojená škola Banská Štiavnica")</f>
        <v>Katolícka spojená škola Banská Štiavnica</v>
      </c>
      <c r="D11" s="24" t="str">
        <f ca="1">IFERROR(__xludf.DUMMYFUNCTION("""COMPUTED_VALUE"""),"ZŠ")</f>
        <v>ZŠ</v>
      </c>
      <c r="E11" s="10">
        <f t="shared" si="0"/>
        <v>3.7777777777777777E-4</v>
      </c>
      <c r="F11" s="12">
        <v>3.7777777777777777E-4</v>
      </c>
      <c r="G11" s="12">
        <v>5.9259259259259258E-4</v>
      </c>
      <c r="H11" s="12"/>
      <c r="I11" s="12"/>
      <c r="J11" s="12">
        <v>4.1666666666666664E-2</v>
      </c>
    </row>
    <row r="12" spans="1:10" ht="13.8">
      <c r="A12" s="34">
        <f ca="1">IFERROR(__xludf.DUMMYFUNCTION("""COMPUTED_VALUE"""),62)</f>
        <v>62</v>
      </c>
      <c r="B12" s="17" t="str">
        <f ca="1">IFERROR(__xludf.DUMMYFUNCTION("""COMPUTED_VALUE"""),"TurboSPS")</f>
        <v>TurboSPS</v>
      </c>
      <c r="C12" s="17" t="str">
        <f ca="1">IFERROR(__xludf.DUMMYFUNCTION("""COMPUTED_VALUE"""),"SPŠ technická Martin")</f>
        <v>SPŠ technická Martin</v>
      </c>
      <c r="D12" s="24" t="str">
        <f ca="1">IFERROR(__xludf.DUMMYFUNCTION("""COMPUTED_VALUE"""),"SŠ")</f>
        <v>SŠ</v>
      </c>
      <c r="E12" s="10">
        <f t="shared" si="0"/>
        <v>2.921296296296296E-4</v>
      </c>
      <c r="F12" s="12">
        <v>2.921296296296296E-4</v>
      </c>
      <c r="G12" s="12">
        <v>3.7384259259259255E-4</v>
      </c>
      <c r="H12" s="12"/>
      <c r="I12" s="12"/>
      <c r="J12" s="12">
        <v>4.1666666666666664E-2</v>
      </c>
    </row>
    <row r="13" spans="1:10" ht="27.6">
      <c r="A13" s="34">
        <f ca="1">IFERROR(__xludf.DUMMYFUNCTION("""COMPUTED_VALUE"""),65)</f>
        <v>65</v>
      </c>
      <c r="B13" s="17" t="str">
        <f ca="1">IFERROR(__xludf.DUMMYFUNCTION("""COMPUTED_VALUE"""),"ZŠ Otevřeno 1")</f>
        <v>ZŠ Otevřeno 1</v>
      </c>
      <c r="C13" s="17" t="str">
        <f ca="1">IFERROR(__xludf.DUMMYFUNCTION("""COMPUTED_VALUE"""),"ZŠ Otevřeno Benátky nad Jizerou")</f>
        <v>ZŠ Otevřeno Benátky nad Jizerou</v>
      </c>
      <c r="D13" s="24" t="str">
        <f ca="1">IFERROR(__xludf.DUMMYFUNCTION("""COMPUTED_VALUE"""),"ZŠ")</f>
        <v>ZŠ</v>
      </c>
      <c r="E13" s="10">
        <f t="shared" si="0"/>
        <v>5.8252314814814809E-4</v>
      </c>
      <c r="F13" s="12">
        <v>5.8252314814814809E-4</v>
      </c>
      <c r="G13" s="12"/>
      <c r="H13" s="12"/>
      <c r="I13" s="12"/>
      <c r="J13" s="12">
        <v>4.1666666666666664E-2</v>
      </c>
    </row>
    <row r="14" spans="1:10" ht="13.8">
      <c r="A14" s="34">
        <f ca="1">IFERROR(__xludf.DUMMYFUNCTION("""COMPUTED_VALUE"""),69)</f>
        <v>69</v>
      </c>
      <c r="B14" s="17" t="str">
        <f ca="1">IFERROR(__xludf.DUMMYFUNCTION("""COMPUTED_VALUE"""),"Krasohled2")</f>
        <v>Krasohled2</v>
      </c>
      <c r="C14" s="17" t="str">
        <f ca="1">IFERROR(__xludf.DUMMYFUNCTION("""COMPUTED_VALUE"""),"ZŠ a DDM Krasohled Zábřeh ")</f>
        <v xml:space="preserve">ZŠ a DDM Krasohled Zábřeh </v>
      </c>
      <c r="D14" s="24" t="str">
        <f ca="1">IFERROR(__xludf.DUMMYFUNCTION("""COMPUTED_VALUE"""),"ZŠ")</f>
        <v>ZŠ</v>
      </c>
      <c r="E14" s="10">
        <f t="shared" si="0"/>
        <v>3.1238425925925927E-4</v>
      </c>
      <c r="F14" s="12">
        <v>3.1238425925925927E-4</v>
      </c>
      <c r="G14" s="12"/>
      <c r="H14" s="12"/>
      <c r="I14" s="12"/>
      <c r="J14" s="12">
        <v>4.1666666666666664E-2</v>
      </c>
    </row>
    <row r="15" spans="1:10" ht="27.6">
      <c r="A15" s="15">
        <f ca="1">IFERROR(__xludf.DUMMYFUNCTION("""COMPUTED_VALUE"""),71)</f>
        <v>71</v>
      </c>
      <c r="B15" s="17" t="str">
        <f ca="1">IFERROR(__xludf.DUMMYFUNCTION("""COMPUTED_VALUE"""),"Programmers")</f>
        <v>Programmers</v>
      </c>
      <c r="C15" s="17" t="str">
        <f ca="1">IFERROR(__xludf.DUMMYFUNCTION("""COMPUTED_VALUE"""),"ZŠ Nové Zámky, Nábrežná 95,")</f>
        <v>ZŠ Nové Zámky, Nábrežná 95,</v>
      </c>
      <c r="D15" s="38" t="str">
        <f ca="1">IFERROR(__xludf.DUMMYFUNCTION("""COMPUTED_VALUE"""),"ZŠ")</f>
        <v>ZŠ</v>
      </c>
      <c r="E15" s="10">
        <f t="shared" si="0"/>
        <v>1.8842592592592595E-4</v>
      </c>
      <c r="F15" s="12">
        <v>1.8842592592592595E-4</v>
      </c>
      <c r="G15" s="12">
        <v>2.4583333333333331E-4</v>
      </c>
      <c r="H15" s="12"/>
      <c r="I15" s="12"/>
      <c r="J15" s="12">
        <v>4.1666666666666664E-2</v>
      </c>
    </row>
    <row r="16" spans="1:10" ht="13.8">
      <c r="A16" s="15">
        <f ca="1">IFERROR(__xludf.DUMMYFUNCTION("""COMPUTED_VALUE"""),75)</f>
        <v>75</v>
      </c>
      <c r="B16" s="17" t="str">
        <f ca="1">IFERROR(__xludf.DUMMYFUNCTION("""COMPUTED_VALUE"""),"Tým 3")</f>
        <v>Tým 3</v>
      </c>
      <c r="C16" s="17" t="str">
        <f ca="1">IFERROR(__xludf.DUMMYFUNCTION("""COMPUTED_VALUE"""),"Jiráskovo gymnázium Náchod")</f>
        <v>Jiráskovo gymnázium Náchod</v>
      </c>
      <c r="D16" s="24" t="str">
        <f ca="1">IFERROR(__xludf.DUMMYFUNCTION("""COMPUTED_VALUE"""),"ZŠ")</f>
        <v>ZŠ</v>
      </c>
      <c r="E16" s="10">
        <f t="shared" si="0"/>
        <v>4.1666666666666664E-2</v>
      </c>
      <c r="F16" s="31"/>
      <c r="G16" s="12"/>
      <c r="H16" s="12"/>
      <c r="I16" s="12"/>
      <c r="J16" s="12">
        <v>4.1666666666666664E-2</v>
      </c>
    </row>
    <row r="17" spans="1:10" ht="13.8">
      <c r="A17" s="15">
        <f ca="1">IFERROR(__xludf.DUMMYFUNCTION("""COMPUTED_VALUE"""),76)</f>
        <v>76</v>
      </c>
      <c r="B17" s="17" t="str">
        <f ca="1">IFERROR(__xludf.DUMMYFUNCTION("""COMPUTED_VALUE"""),"Tým 4")</f>
        <v>Tým 4</v>
      </c>
      <c r="C17" s="17" t="str">
        <f ca="1">IFERROR(__xludf.DUMMYFUNCTION("""COMPUTED_VALUE"""),"Jiráskovo gymnázium Náchod")</f>
        <v>Jiráskovo gymnázium Náchod</v>
      </c>
      <c r="D17" s="24" t="str">
        <f ca="1">IFERROR(__xludf.DUMMYFUNCTION("""COMPUTED_VALUE"""),"ZŠ")</f>
        <v>ZŠ</v>
      </c>
      <c r="E17" s="10">
        <f t="shared" si="0"/>
        <v>4.1666666666666664E-2</v>
      </c>
      <c r="F17" s="12"/>
      <c r="G17" s="12"/>
      <c r="H17" s="12"/>
      <c r="I17" s="12"/>
      <c r="J17" s="12">
        <v>4.1666666666666664E-2</v>
      </c>
    </row>
    <row r="18" spans="1:10" ht="13.8">
      <c r="A18" s="15">
        <f ca="1">IFERROR(__xludf.DUMMYFUNCTION("""COMPUTED_VALUE"""),77)</f>
        <v>77</v>
      </c>
      <c r="B18" s="28" t="str">
        <f ca="1">IFERROR(__xludf.DUMMYFUNCTION("""COMPUTED_VALUE"""),"Tým 5")</f>
        <v>Tým 5</v>
      </c>
      <c r="C18" s="28" t="str">
        <f ca="1">IFERROR(__xludf.DUMMYFUNCTION("""COMPUTED_VALUE"""),"Jiráskovo gymnázium Náchod")</f>
        <v>Jiráskovo gymnázium Náchod</v>
      </c>
      <c r="D18" s="33" t="str">
        <f ca="1">IFERROR(__xludf.DUMMYFUNCTION("""COMPUTED_VALUE"""),"SŠ")</f>
        <v>SŠ</v>
      </c>
      <c r="E18" s="10">
        <f t="shared" si="0"/>
        <v>4.1666666666666664E-2</v>
      </c>
      <c r="F18" s="12"/>
      <c r="G18" s="12"/>
      <c r="H18" s="12"/>
      <c r="I18" s="12"/>
      <c r="J18" s="12">
        <v>4.1666666666666664E-2</v>
      </c>
    </row>
    <row r="19" spans="1:10" ht="13.8">
      <c r="A19" s="15">
        <f ca="1">IFERROR(__xludf.DUMMYFUNCTION("""COMPUTED_VALUE"""),78)</f>
        <v>78</v>
      </c>
      <c r="B19" s="17" t="str">
        <f ca="1">IFERROR(__xludf.DUMMYFUNCTION("""COMPUTED_VALUE"""),"Tým 6")</f>
        <v>Tým 6</v>
      </c>
      <c r="C19" s="17" t="str">
        <f ca="1">IFERROR(__xludf.DUMMYFUNCTION("""COMPUTED_VALUE"""),"Jiráskovo gymnázium Náchod")</f>
        <v>Jiráskovo gymnázium Náchod</v>
      </c>
      <c r="D19" s="24" t="str">
        <f ca="1">IFERROR(__xludf.DUMMYFUNCTION("""COMPUTED_VALUE"""),"SŠ")</f>
        <v>SŠ</v>
      </c>
      <c r="E19" s="10">
        <f t="shared" si="0"/>
        <v>4.1666666666666664E-2</v>
      </c>
      <c r="F19" s="12"/>
      <c r="G19" s="12"/>
      <c r="H19" s="12"/>
      <c r="I19" s="12"/>
      <c r="J19" s="12">
        <v>4.1666666666666664E-2</v>
      </c>
    </row>
    <row r="20" spans="1:10" ht="13.8">
      <c r="A20" s="15">
        <f ca="1">IFERROR(__xludf.DUMMYFUNCTION("""COMPUTED_VALUE"""),91)</f>
        <v>91</v>
      </c>
      <c r="B20" s="17" t="str">
        <f ca="1">IFERROR(__xludf.DUMMYFUNCTION("""COMPUTED_VALUE"""),"Androidi")</f>
        <v>Androidi</v>
      </c>
      <c r="C20" s="17" t="str">
        <f ca="1">IFERROR(__xludf.DUMMYFUNCTION("""COMPUTED_VALUE"""),"ZŠ, Znojmo, Mládeže 3")</f>
        <v>ZŠ, Znojmo, Mládeže 3</v>
      </c>
      <c r="D20" s="24" t="str">
        <f ca="1">IFERROR(__xludf.DUMMYFUNCTION("""COMPUTED_VALUE"""),"ZŠ")</f>
        <v>ZŠ</v>
      </c>
      <c r="E20" s="10">
        <f t="shared" si="0"/>
        <v>4.9421296296296301E-4</v>
      </c>
      <c r="F20" s="12">
        <v>4.9421296296296301E-4</v>
      </c>
      <c r="G20" s="12"/>
      <c r="H20" s="12"/>
      <c r="I20" s="12"/>
      <c r="J20" s="12">
        <v>4.1666666666666664E-2</v>
      </c>
    </row>
    <row r="21" spans="1:10" ht="27.6">
      <c r="A21" s="34">
        <f ca="1">IFERROR(__xludf.DUMMYFUNCTION("""COMPUTED_VALUE"""),102)</f>
        <v>102</v>
      </c>
      <c r="B21" s="17" t="str">
        <f ca="1">IFERROR(__xludf.DUMMYFUNCTION("""COMPUTED_VALUE"""),"Gymstr 4.O")</f>
        <v>Gymstr 4.O</v>
      </c>
      <c r="C21" s="17" t="str">
        <f ca="1">IFERROR(__xludf.DUMMYFUNCTION("""COMPUTED_VALUE"""),"Gymnázium, Strakonice, Máchova 174")</f>
        <v>Gymnázium, Strakonice, Máchova 174</v>
      </c>
      <c r="D21" s="24" t="str">
        <f ca="1">IFERROR(__xludf.DUMMYFUNCTION("""COMPUTED_VALUE"""),"ZŠ")</f>
        <v>ZŠ</v>
      </c>
      <c r="E21" s="10">
        <f t="shared" si="0"/>
        <v>7.2523148148148143E-4</v>
      </c>
      <c r="F21" s="12">
        <v>7.2523148148148143E-4</v>
      </c>
      <c r="G21" s="12"/>
      <c r="H21" s="12"/>
      <c r="I21" s="12"/>
      <c r="J21" s="12">
        <v>4.1666666666666664E-2</v>
      </c>
    </row>
    <row r="22" spans="1:10" ht="13.8">
      <c r="A22" s="15">
        <f ca="1">IFERROR(__xludf.DUMMYFUNCTION("""COMPUTED_VALUE"""),106)</f>
        <v>106</v>
      </c>
      <c r="B22" s="17" t="str">
        <f ca="1">IFERROR(__xludf.DUMMYFUNCTION("""COMPUTED_VALUE"""),"projekt Libjena")</f>
        <v>projekt Libjena</v>
      </c>
      <c r="C22" s="28" t="str">
        <f ca="1">IFERROR(__xludf.DUMMYFUNCTION("""COMPUTED_VALUE"""),"SVČ Opava")</f>
        <v>SVČ Opava</v>
      </c>
      <c r="D22" s="24" t="str">
        <f ca="1">IFERROR(__xludf.DUMMYFUNCTION("""COMPUTED_VALUE"""),"ZŠ")</f>
        <v>ZŠ</v>
      </c>
      <c r="E22" s="10">
        <f t="shared" si="0"/>
        <v>3.896990740740741E-4</v>
      </c>
      <c r="F22" s="12">
        <v>3.896990740740741E-4</v>
      </c>
      <c r="G22" s="12">
        <v>4.2060185185185191E-4</v>
      </c>
      <c r="H22" s="12"/>
      <c r="I22" s="12"/>
      <c r="J22" s="12">
        <v>4.1666666666666664E-2</v>
      </c>
    </row>
    <row r="23" spans="1:10" ht="27.6">
      <c r="A23" s="34">
        <f ca="1">IFERROR(__xludf.DUMMYFUNCTION("""COMPUTED_VALUE"""),110)</f>
        <v>110</v>
      </c>
      <c r="B23" s="17" t="str">
        <f ca="1">IFERROR(__xludf.DUMMYFUNCTION("""COMPUTED_VALUE"""),"Partizáni")</f>
        <v>Partizáni</v>
      </c>
      <c r="C23" s="17" t="str">
        <f ca="1">IFERROR(__xludf.DUMMYFUNCTION("""COMPUTED_VALUE"""),"Amavet klub č.808 Partizánske")</f>
        <v>Amavet klub č.808 Partizánske</v>
      </c>
      <c r="D23" s="24" t="str">
        <f ca="1">IFERROR(__xludf.DUMMYFUNCTION("""COMPUTED_VALUE"""),"SŠ")</f>
        <v>SŠ</v>
      </c>
      <c r="E23" s="10">
        <f t="shared" si="0"/>
        <v>3.6168981481481479E-4</v>
      </c>
      <c r="F23" s="12">
        <v>5.265046296296297E-4</v>
      </c>
      <c r="G23" s="12">
        <v>3.6168981481481479E-4</v>
      </c>
      <c r="H23" s="12"/>
      <c r="I23" s="12"/>
      <c r="J23" s="12">
        <v>4.1666666666666664E-2</v>
      </c>
    </row>
    <row r="24" spans="1:10" ht="13.8">
      <c r="A24" s="15">
        <f ca="1">IFERROR(__xludf.DUMMYFUNCTION("""COMPUTED_VALUE"""),116)</f>
        <v>116</v>
      </c>
      <c r="B24" s="17" t="str">
        <f ca="1">IFERROR(__xludf.DUMMYFUNCTION("""COMPUTED_VALUE"""),"Robokrug")</f>
        <v>Robokrug</v>
      </c>
      <c r="C24" s="28" t="str">
        <f ca="1">IFERROR(__xludf.DUMMYFUNCTION("""COMPUTED_VALUE"""),"DDM Ostrava Poruba ")</f>
        <v xml:space="preserve">DDM Ostrava Poruba </v>
      </c>
      <c r="D24" s="24" t="str">
        <f ca="1">IFERROR(__xludf.DUMMYFUNCTION("""COMPUTED_VALUE"""),"ZŠ")</f>
        <v>ZŠ</v>
      </c>
      <c r="E24" s="10">
        <f t="shared" si="0"/>
        <v>3.7870370370370369E-4</v>
      </c>
      <c r="F24" s="12">
        <v>3.7870370370370369E-4</v>
      </c>
      <c r="G24" s="12"/>
      <c r="H24" s="12"/>
      <c r="I24" s="12"/>
      <c r="J24" s="12">
        <v>4.1666666666666664E-2</v>
      </c>
    </row>
    <row r="25" spans="1:10" ht="13.8">
      <c r="A25" s="15">
        <f ca="1">IFERROR(__xludf.DUMMYFUNCTION("""COMPUTED_VALUE"""),123)</f>
        <v>123</v>
      </c>
      <c r="B25" s="17" t="str">
        <f ca="1">IFERROR(__xludf.DUMMYFUNCTION("""COMPUTED_VALUE"""),"Bez problému")</f>
        <v>Bez problému</v>
      </c>
      <c r="C25" s="17" t="str">
        <f ca="1">IFERROR(__xludf.DUMMYFUNCTION("""COMPUTED_VALUE"""),"Gymnázium Jihlava")</f>
        <v>Gymnázium Jihlava</v>
      </c>
      <c r="D25" s="24" t="str">
        <f ca="1">IFERROR(__xludf.DUMMYFUNCTION("""COMPUTED_VALUE"""),"SŠ")</f>
        <v>SŠ</v>
      </c>
      <c r="E25" s="10">
        <f t="shared" si="0"/>
        <v>2.7604166666666668E-4</v>
      </c>
      <c r="F25" s="12">
        <v>3.7534722222222223E-4</v>
      </c>
      <c r="G25" s="12">
        <v>3.0648148148148147E-4</v>
      </c>
      <c r="H25" s="12">
        <v>2.7604166666666668E-4</v>
      </c>
      <c r="I25" s="12"/>
      <c r="J25" s="12">
        <v>4.1666666666666664E-2</v>
      </c>
    </row>
    <row r="26" spans="1:10" ht="27.6">
      <c r="A26" s="34">
        <f ca="1">IFERROR(__xludf.DUMMYFUNCTION("""COMPUTED_VALUE"""),124)</f>
        <v>124</v>
      </c>
      <c r="B26" s="17" t="str">
        <f ca="1">IFERROR(__xludf.DUMMYFUNCTION("""COMPUTED_VALUE"""),"GMCT major")</f>
        <v>GMCT major</v>
      </c>
      <c r="C26" s="17" t="str">
        <f ca="1">IFERROR(__xludf.DUMMYFUNCTION("""COMPUTED_VALUE"""),"Gymnázium Josefa Božka Český Těšín")</f>
        <v>Gymnázium Josefa Božka Český Těšín</v>
      </c>
      <c r="D26" s="24" t="str">
        <f ca="1">IFERROR(__xludf.DUMMYFUNCTION("""COMPUTED_VALUE"""),"SŠ")</f>
        <v>SŠ</v>
      </c>
      <c r="E26" s="10">
        <f t="shared" si="0"/>
        <v>2.59375E-4</v>
      </c>
      <c r="F26" s="12">
        <v>2.59375E-4</v>
      </c>
      <c r="G26" s="32" t="s">
        <v>22</v>
      </c>
      <c r="H26" s="12">
        <v>3.4490740740740743E-4</v>
      </c>
      <c r="I26" s="12"/>
      <c r="J26" s="12">
        <v>4.1666666666666664E-2</v>
      </c>
    </row>
    <row r="27" spans="1:10" ht="27.6">
      <c r="A27" s="15">
        <f ca="1">IFERROR(__xludf.DUMMYFUNCTION("""COMPUTED_VALUE"""),133)</f>
        <v>133</v>
      </c>
      <c r="B27" s="17" t="str">
        <f ca="1">IFERROR(__xludf.DUMMYFUNCTION("""COMPUTED_VALUE"""),"Černilováci")</f>
        <v>Černilováci</v>
      </c>
      <c r="C27" s="17" t="str">
        <f ca="1">IFERROR(__xludf.DUMMYFUNCTION("""COMPUTED_VALUE"""),"Masarykova jubilejní ZŠ a MŠ Černilov")</f>
        <v>Masarykova jubilejní ZŠ a MŠ Černilov</v>
      </c>
      <c r="D27" s="24" t="str">
        <f ca="1">IFERROR(__xludf.DUMMYFUNCTION("""COMPUTED_VALUE"""),"ZŠ")</f>
        <v>ZŠ</v>
      </c>
      <c r="E27" s="10">
        <f t="shared" si="0"/>
        <v>4.4097222222222226E-4</v>
      </c>
      <c r="F27" s="12">
        <v>4.4097222222222226E-4</v>
      </c>
      <c r="G27" s="12"/>
      <c r="H27" s="12"/>
      <c r="I27" s="12"/>
      <c r="J27" s="12">
        <v>4.1666666666666664E-2</v>
      </c>
    </row>
    <row r="28" spans="1:10" ht="13.8">
      <c r="A28" s="34">
        <f ca="1">IFERROR(__xludf.DUMMYFUNCTION("""COMPUTED_VALUE"""),135)</f>
        <v>135</v>
      </c>
      <c r="B28" s="17" t="str">
        <f ca="1">IFERROR(__xludf.DUMMYFUNCTION("""COMPUTED_VALUE"""),"Kaštani")</f>
        <v>Kaštani</v>
      </c>
      <c r="C28" s="17" t="str">
        <f ca="1">IFERROR(__xludf.DUMMYFUNCTION("""COMPUTED_VALUE"""),"Matiční gymnázium, Ostrava")</f>
        <v>Matiční gymnázium, Ostrava</v>
      </c>
      <c r="D28" s="24" t="str">
        <f ca="1">IFERROR(__xludf.DUMMYFUNCTION("""COMPUTED_VALUE"""),"ZŠ")</f>
        <v>ZŠ</v>
      </c>
      <c r="E28" s="10">
        <f t="shared" si="0"/>
        <v>4.1666666666666664E-2</v>
      </c>
      <c r="F28" s="12"/>
      <c r="G28" s="12"/>
      <c r="H28" s="12"/>
      <c r="I28" s="12"/>
      <c r="J28" s="12">
        <v>4.1666666666666664E-2</v>
      </c>
    </row>
    <row r="29" spans="1:10" ht="27.6">
      <c r="A29" s="15">
        <f ca="1">IFERROR(__xludf.DUMMYFUNCTION("""COMPUTED_VALUE"""),136)</f>
        <v>136</v>
      </c>
      <c r="B29" s="17" t="str">
        <f ca="1">IFERROR(__xludf.DUMMYFUNCTION("""COMPUTED_VALUE"""),"RoBookWorms")</f>
        <v>RoBookWorms</v>
      </c>
      <c r="C29" s="17" t="str">
        <f ca="1">IFERROR(__xludf.DUMMYFUNCTION("""COMPUTED_VALUE"""),"Městská knihovna Česká Třebová")</f>
        <v>Městská knihovna Česká Třebová</v>
      </c>
      <c r="D29" s="24" t="str">
        <f ca="1">IFERROR(__xludf.DUMMYFUNCTION("""COMPUTED_VALUE"""),"ZŠ")</f>
        <v>ZŠ</v>
      </c>
      <c r="E29" s="10">
        <f t="shared" si="0"/>
        <v>3.1087962962962965E-4</v>
      </c>
      <c r="F29" s="12">
        <v>3.1087962962962965E-4</v>
      </c>
      <c r="G29" s="12">
        <v>3.3657407407407404E-4</v>
      </c>
      <c r="H29" s="12"/>
      <c r="I29" s="12"/>
      <c r="J29" s="12">
        <v>4.1666666666666664E-2</v>
      </c>
    </row>
    <row r="30" spans="1:10" ht="13.8">
      <c r="A30" s="34">
        <f ca="1">IFERROR(__xludf.DUMMYFUNCTION("""COMPUTED_VALUE"""),137)</f>
        <v>137</v>
      </c>
      <c r="B30" s="17" t="str">
        <f ca="1">IFERROR(__xludf.DUMMYFUNCTION("""COMPUTED_VALUE"""),"_Půda Crew 1")</f>
        <v>_Půda Crew 1</v>
      </c>
      <c r="C30" s="17" t="str">
        <f ca="1">IFERROR(__xludf.DUMMYFUNCTION("""COMPUTED_VALUE"""),"Městská knihovna Polička")</f>
        <v>Městská knihovna Polička</v>
      </c>
      <c r="D30" s="24" t="str">
        <f ca="1">IFERROR(__xludf.DUMMYFUNCTION("""COMPUTED_VALUE"""),"ZŠ")</f>
        <v>ZŠ</v>
      </c>
      <c r="E30" s="10">
        <f t="shared" si="0"/>
        <v>4.2476851851851855E-4</v>
      </c>
      <c r="F30" s="12">
        <v>4.2476851851851855E-4</v>
      </c>
      <c r="G30" s="12">
        <v>5.6736111111111115E-4</v>
      </c>
      <c r="H30" s="12"/>
      <c r="I30" s="12"/>
      <c r="J30" s="12">
        <v>4.1666666666666664E-2</v>
      </c>
    </row>
    <row r="31" spans="1:10" ht="13.8">
      <c r="A31" s="34">
        <f ca="1">IFERROR(__xludf.DUMMYFUNCTION("""COMPUTED_VALUE"""),139)</f>
        <v>139</v>
      </c>
      <c r="B31" s="17" t="str">
        <f ca="1">IFERROR(__xludf.DUMMYFUNCTION("""COMPUTED_VALUE"""),"_Půda Crew 3")</f>
        <v>_Půda Crew 3</v>
      </c>
      <c r="C31" s="17" t="str">
        <f ca="1">IFERROR(__xludf.DUMMYFUNCTION("""COMPUTED_VALUE"""),"Městská knihovna Polička")</f>
        <v>Městská knihovna Polička</v>
      </c>
      <c r="D31" s="24" t="str">
        <f ca="1">IFERROR(__xludf.DUMMYFUNCTION("""COMPUTED_VALUE"""),"ZŠ")</f>
        <v>ZŠ</v>
      </c>
      <c r="E31" s="10">
        <f t="shared" si="0"/>
        <v>4.1666666666666664E-2</v>
      </c>
      <c r="F31" s="12"/>
      <c r="G31" s="12"/>
      <c r="H31" s="12"/>
      <c r="I31" s="12"/>
      <c r="J31" s="12">
        <v>4.1666666666666664E-2</v>
      </c>
    </row>
    <row r="32" spans="1:10" ht="13.8">
      <c r="A32" s="15">
        <f ca="1">IFERROR(__xludf.DUMMYFUNCTION("""COMPUTED_VALUE"""),141)</f>
        <v>141</v>
      </c>
      <c r="B32" s="17" t="str">
        <f ca="1">IFERROR(__xludf.DUMMYFUNCTION("""COMPUTED_VALUE"""),"DELTA")</f>
        <v>DELTA</v>
      </c>
      <c r="C32" s="17" t="str">
        <f ca="1">IFERROR(__xludf.DUMMYFUNCTION("""COMPUTED_VALUE"""),"SPŠ elektrotechnická Prešov")</f>
        <v>SPŠ elektrotechnická Prešov</v>
      </c>
      <c r="D32" s="24" t="str">
        <f ca="1">IFERROR(__xludf.DUMMYFUNCTION("""COMPUTED_VALUE"""),"SŠ")</f>
        <v>SŠ</v>
      </c>
      <c r="E32" s="10">
        <f t="shared" si="0"/>
        <v>9.6331018518518521E-4</v>
      </c>
      <c r="F32" s="12">
        <v>9.6331018518518521E-4</v>
      </c>
      <c r="G32" s="12"/>
      <c r="H32" s="12"/>
      <c r="I32" s="12"/>
      <c r="J32" s="12">
        <v>4.1666666666666664E-2</v>
      </c>
    </row>
    <row r="33" spans="1:10" ht="13.8">
      <c r="A33" s="15">
        <f ca="1">IFERROR(__xludf.DUMMYFUNCTION("""COMPUTED_VALUE"""),142)</f>
        <v>142</v>
      </c>
      <c r="B33" s="17" t="str">
        <f ca="1">IFERROR(__xludf.DUMMYFUNCTION("""COMPUTED_VALUE"""),"M.O.K.O")</f>
        <v>M.O.K.O</v>
      </c>
      <c r="C33" s="28" t="str">
        <f ca="1">IFERROR(__xludf.DUMMYFUNCTION("""COMPUTED_VALUE"""),"SPŠ Karviná")</f>
        <v>SPŠ Karviná</v>
      </c>
      <c r="D33" s="24" t="str">
        <f ca="1">IFERROR(__xludf.DUMMYFUNCTION("""COMPUTED_VALUE"""),"SŠ")</f>
        <v>SŠ</v>
      </c>
      <c r="E33" s="10">
        <f t="shared" si="0"/>
        <v>1.1717592592592593E-3</v>
      </c>
      <c r="F33" s="12">
        <v>1.1717592592592593E-3</v>
      </c>
      <c r="H33" s="12"/>
      <c r="I33" s="12"/>
      <c r="J33" s="12">
        <v>4.1666666666666664E-2</v>
      </c>
    </row>
    <row r="34" spans="1:10" ht="13.8">
      <c r="A34" s="15">
        <f ca="1">IFERROR(__xludf.DUMMYFUNCTION("""COMPUTED_VALUE"""),144)</f>
        <v>144</v>
      </c>
      <c r="B34" s="17" t="str">
        <f ca="1">IFERROR(__xludf.DUMMYFUNCTION("""COMPUTED_VALUE"""),"Kulišáci")</f>
        <v>Kulišáci</v>
      </c>
      <c r="C34" s="39" t="str">
        <f ca="1">IFERROR(__xludf.DUMMYFUNCTION("""COMPUTED_VALUE"""),"SPŠ Prosek")</f>
        <v>SPŠ Prosek</v>
      </c>
      <c r="D34" s="24" t="str">
        <f ca="1">IFERROR(__xludf.DUMMYFUNCTION("""COMPUTED_VALUE"""),"SŠ")</f>
        <v>SŠ</v>
      </c>
      <c r="E34" s="10">
        <f t="shared" si="0"/>
        <v>4.1666666666666664E-2</v>
      </c>
      <c r="F34" s="12"/>
      <c r="G34" s="12"/>
      <c r="H34" s="12"/>
      <c r="I34" s="12"/>
      <c r="J34" s="12">
        <v>4.1666666666666664E-2</v>
      </c>
    </row>
    <row r="35" spans="1:10" ht="13.8">
      <c r="A35" s="34">
        <f ca="1">IFERROR(__xludf.DUMMYFUNCTION("""COMPUTED_VALUE"""),145)</f>
        <v>145</v>
      </c>
      <c r="B35" s="17" t="str">
        <f ca="1">IFERROR(__xludf.DUMMYFUNCTION("""COMPUTED_VALUE"""),"Yeeters")</f>
        <v>Yeeters</v>
      </c>
      <c r="C35" s="17" t="str">
        <f ca="1">IFERROR(__xludf.DUMMYFUNCTION("""COMPUTED_VALUE"""),"SPŠ Rakovník Emila Kolbena")</f>
        <v>SPŠ Rakovník Emila Kolbena</v>
      </c>
      <c r="D35" s="24" t="str">
        <f ca="1">IFERROR(__xludf.DUMMYFUNCTION("""COMPUTED_VALUE"""),"SŠ")</f>
        <v>SŠ</v>
      </c>
      <c r="E35" s="10">
        <f t="shared" si="0"/>
        <v>4.1666666666666664E-2</v>
      </c>
      <c r="F35" s="32" t="s">
        <v>23</v>
      </c>
      <c r="G35" s="12"/>
      <c r="H35" s="12"/>
      <c r="I35" s="12"/>
      <c r="J35" s="12">
        <v>4.1666666666666664E-2</v>
      </c>
    </row>
    <row r="36" spans="1:10" ht="13.8">
      <c r="A36" s="34">
        <f ca="1">IFERROR(__xludf.DUMMYFUNCTION("""COMPUTED_VALUE"""),146)</f>
        <v>146</v>
      </c>
      <c r="B36" s="17" t="str">
        <f ca="1">IFERROR(__xludf.DUMMYFUNCTION("""COMPUTED_VALUE"""),"Starhunters")</f>
        <v>Starhunters</v>
      </c>
      <c r="C36" s="17" t="str">
        <f ca="1">IFERROR(__xludf.DUMMYFUNCTION("""COMPUTED_VALUE"""),"SPŠ, OA a JŠ Frýdek-Místek")</f>
        <v>SPŠ, OA a JŠ Frýdek-Místek</v>
      </c>
      <c r="D36" s="24" t="str">
        <f ca="1">IFERROR(__xludf.DUMMYFUNCTION("""COMPUTED_VALUE"""),"ZŠ")</f>
        <v>ZŠ</v>
      </c>
      <c r="E36" s="10">
        <f t="shared" si="0"/>
        <v>4.1666666666666664E-2</v>
      </c>
      <c r="F36" s="12"/>
      <c r="G36" s="12"/>
      <c r="H36" s="12"/>
      <c r="I36" s="12"/>
      <c r="J36" s="12">
        <v>4.1666666666666664E-2</v>
      </c>
    </row>
    <row r="37" spans="1:10" ht="27.6">
      <c r="A37" s="34">
        <f ca="1">IFERROR(__xludf.DUMMYFUNCTION("""COMPUTED_VALUE"""),149)</f>
        <v>149</v>
      </c>
      <c r="B37" s="17" t="str">
        <f ca="1">IFERROR(__xludf.DUMMYFUNCTION("""COMPUTED_VALUE"""),"TÉKÁČKO")</f>
        <v>TÉKÁČKO</v>
      </c>
      <c r="C37" s="17" t="str">
        <f ca="1">IFERROR(__xludf.DUMMYFUNCTION("""COMPUTED_VALUE"""),"Technologický klub Albrechtice n/Orlicí")</f>
        <v>Technologický klub Albrechtice n/Orlicí</v>
      </c>
      <c r="D37" s="24" t="str">
        <f ca="1">IFERROR(__xludf.DUMMYFUNCTION("""COMPUTED_VALUE"""),"ZŠ")</f>
        <v>ZŠ</v>
      </c>
      <c r="E37" s="10">
        <f t="shared" si="0"/>
        <v>1.8356481481481482E-4</v>
      </c>
      <c r="F37" s="12">
        <v>2.275462962962963E-4</v>
      </c>
      <c r="G37" s="12">
        <v>1.8356481481481482E-4</v>
      </c>
      <c r="H37" s="12">
        <v>2.1539351851851852E-4</v>
      </c>
      <c r="I37" s="12"/>
      <c r="J37" s="12">
        <v>4.1666666666666664E-2</v>
      </c>
    </row>
    <row r="38" spans="1:10" ht="13.8">
      <c r="A38" s="15">
        <f ca="1">IFERROR(__xludf.DUMMYFUNCTION("""COMPUTED_VALUE"""),150)</f>
        <v>150</v>
      </c>
      <c r="B38" s="17" t="str">
        <f ca="1">IFERROR(__xludf.DUMMYFUNCTION("""COMPUTED_VALUE"""),"Gearshift")</f>
        <v>Gearshift</v>
      </c>
      <c r="C38" s="17" t="str">
        <f ca="1">IFERROR(__xludf.DUMMYFUNCTION("""COMPUTED_VALUE"""),"VOŠ, SŠ, COP Sezimovo Ústí")</f>
        <v>VOŠ, SŠ, COP Sezimovo Ústí</v>
      </c>
      <c r="D38" s="24" t="str">
        <f ca="1">IFERROR(__xludf.DUMMYFUNCTION("""COMPUTED_VALUE"""),"SŠ")</f>
        <v>SŠ</v>
      </c>
      <c r="E38" s="10">
        <f t="shared" si="0"/>
        <v>2.769675925925926E-4</v>
      </c>
      <c r="F38" s="12">
        <v>2.769675925925926E-4</v>
      </c>
      <c r="G38" s="12">
        <v>2.9444444444444445E-4</v>
      </c>
      <c r="H38" s="12">
        <v>2.787037037037037E-4</v>
      </c>
      <c r="I38" s="12"/>
      <c r="J38" s="12">
        <v>4.1666666666666664E-2</v>
      </c>
    </row>
    <row r="39" spans="1:10" ht="27.6">
      <c r="A39" s="15">
        <f ca="1">IFERROR(__xludf.DUMMYFUNCTION("""COMPUTED_VALUE"""),154)</f>
        <v>154</v>
      </c>
      <c r="B39" s="17" t="str">
        <f ca="1">IFERROR(__xludf.DUMMYFUNCTION("""COMPUTED_VALUE"""),"PVD Crew")</f>
        <v>PVD Crew</v>
      </c>
      <c r="C39" s="17" t="str">
        <f ca="1">IFERROR(__xludf.DUMMYFUNCTION("""COMPUTED_VALUE"""),"Wichterlovo gymnázium, Ostrava-Poruba")</f>
        <v>Wichterlovo gymnázium, Ostrava-Poruba</v>
      </c>
      <c r="D39" s="24" t="str">
        <f ca="1">IFERROR(__xludf.DUMMYFUNCTION("""COMPUTED_VALUE"""),"ZŠ")</f>
        <v>ZŠ</v>
      </c>
      <c r="E39" s="10">
        <f t="shared" si="0"/>
        <v>4.1666666666666664E-2</v>
      </c>
      <c r="F39" s="12"/>
      <c r="G39" s="12"/>
      <c r="H39" s="12"/>
      <c r="I39" s="12"/>
      <c r="J39" s="12">
        <v>4.1666666666666664E-2</v>
      </c>
    </row>
    <row r="40" spans="1:10" ht="27.6">
      <c r="A40" s="15">
        <f ca="1">IFERROR(__xludf.DUMMYFUNCTION("""COMPUTED_VALUE"""),155)</f>
        <v>155</v>
      </c>
      <c r="B40" s="17" t="str">
        <f ca="1">IFERROR(__xludf.DUMMYFUNCTION("""COMPUTED_VALUE"""),"Nerdíci z kvarty")</f>
        <v>Nerdíci z kvarty</v>
      </c>
      <c r="C40" s="17" t="str">
        <f ca="1">IFERROR(__xludf.DUMMYFUNCTION("""COMPUTED_VALUE"""),"Wichterlovo gymnázium, Ostrava-Poruba")</f>
        <v>Wichterlovo gymnázium, Ostrava-Poruba</v>
      </c>
      <c r="D40" s="24" t="str">
        <f ca="1">IFERROR(__xludf.DUMMYFUNCTION("""COMPUTED_VALUE"""),"ZŠ")</f>
        <v>ZŠ</v>
      </c>
      <c r="E40" s="10">
        <f t="shared" si="0"/>
        <v>4.1666666666666664E-2</v>
      </c>
      <c r="F40" s="12"/>
      <c r="G40" s="12"/>
      <c r="H40" s="12"/>
      <c r="I40" s="12"/>
      <c r="J40" s="12">
        <v>4.1666666666666664E-2</v>
      </c>
    </row>
    <row r="41" spans="1:10" ht="27.6">
      <c r="A41" s="15">
        <f ca="1">IFERROR(__xludf.DUMMYFUNCTION("""COMPUTED_VALUE"""),157)</f>
        <v>157</v>
      </c>
      <c r="B41" s="17" t="str">
        <f ca="1">IFERROR(__xludf.DUMMYFUNCTION("""COMPUTED_VALUE"""),"Voittaja")</f>
        <v>Voittaja</v>
      </c>
      <c r="C41" s="17" t="str">
        <f ca="1">IFERROR(__xludf.DUMMYFUNCTION("""COMPUTED_VALUE"""),"Základná škola, Trieda SNP 20, Banská Bystrica")</f>
        <v>Základná škola, Trieda SNP 20, Banská Bystrica</v>
      </c>
      <c r="D41" s="24" t="str">
        <f ca="1">IFERROR(__xludf.DUMMYFUNCTION("""COMPUTED_VALUE"""),"ZŠ")</f>
        <v>ZŠ</v>
      </c>
      <c r="E41" s="10">
        <f t="shared" si="0"/>
        <v>7.7418981481481479E-4</v>
      </c>
      <c r="F41" s="12">
        <v>7.7418981481481479E-4</v>
      </c>
      <c r="G41" s="12"/>
      <c r="H41" s="12"/>
      <c r="I41" s="12"/>
      <c r="J41" s="12">
        <v>4.1666666666666664E-2</v>
      </c>
    </row>
    <row r="42" spans="1:10" ht="27.6">
      <c r="A42" s="15">
        <f ca="1">IFERROR(__xludf.DUMMYFUNCTION("""COMPUTED_VALUE"""),158)</f>
        <v>158</v>
      </c>
      <c r="B42" s="28" t="str">
        <f ca="1">IFERROR(__xludf.DUMMYFUNCTION("""COMPUTED_VALUE"""),"Zeus")</f>
        <v>Zeus</v>
      </c>
      <c r="C42" s="28" t="str">
        <f ca="1">IFERROR(__xludf.DUMMYFUNCTION("""COMPUTED_VALUE"""),"Základná škola, Trieda SNP 20, Banská Bystrica")</f>
        <v>Základná škola, Trieda SNP 20, Banská Bystrica</v>
      </c>
      <c r="D42" s="33" t="str">
        <f ca="1">IFERROR(__xludf.DUMMYFUNCTION("""COMPUTED_VALUE"""),"ZŠ")</f>
        <v>ZŠ</v>
      </c>
      <c r="E42" s="10">
        <f t="shared" si="0"/>
        <v>4.1666666666666664E-2</v>
      </c>
      <c r="F42" s="12"/>
      <c r="G42" s="12"/>
      <c r="H42" s="12"/>
      <c r="I42" s="12"/>
      <c r="J42" s="12">
        <v>4.1666666666666664E-2</v>
      </c>
    </row>
    <row r="43" spans="1:10" ht="13.8">
      <c r="A43" s="15">
        <f ca="1">IFERROR(__xludf.DUMMYFUNCTION("""COMPUTED_VALUE"""),160)</f>
        <v>160</v>
      </c>
      <c r="B43" s="17" t="str">
        <f ca="1">IFERROR(__xludf.DUMMYFUNCTION("""COMPUTED_VALUE"""),"Holi Moli")</f>
        <v>Holi Moli</v>
      </c>
      <c r="C43" s="17" t="str">
        <f ca="1">IFERROR(__xludf.DUMMYFUNCTION("""COMPUTED_VALUE"""),"ZŠ Edvarda Beneše Lysice")</f>
        <v>ZŠ Edvarda Beneše Lysice</v>
      </c>
      <c r="D43" s="24" t="str">
        <f ca="1">IFERROR(__xludf.DUMMYFUNCTION("""COMPUTED_VALUE"""),"ZŠ")</f>
        <v>ZŠ</v>
      </c>
      <c r="E43" s="10">
        <f t="shared" si="0"/>
        <v>3.7407407407407409E-4</v>
      </c>
      <c r="F43" s="12">
        <v>4.2604166666666669E-4</v>
      </c>
      <c r="G43" s="12">
        <v>3.7407407407407409E-4</v>
      </c>
      <c r="H43" s="12"/>
      <c r="I43" s="12"/>
      <c r="J43" s="12">
        <v>4.1666666666666664E-2</v>
      </c>
    </row>
    <row r="44" spans="1:10" ht="13.8">
      <c r="A44" s="15">
        <f ca="1">IFERROR(__xludf.DUMMYFUNCTION("""COMPUTED_VALUE"""),161)</f>
        <v>161</v>
      </c>
      <c r="B44" s="17" t="str">
        <f ca="1">IFERROR(__xludf.DUMMYFUNCTION("""COMPUTED_VALUE"""),"Robokop")</f>
        <v>Robokop</v>
      </c>
      <c r="C44" s="28" t="str">
        <f ca="1">IFERROR(__xludf.DUMMYFUNCTION("""COMPUTED_VALUE"""),"ZŠ Hustopeče, Komenského")</f>
        <v>ZŠ Hustopeče, Komenského</v>
      </c>
      <c r="D44" s="24" t="str">
        <f ca="1">IFERROR(__xludf.DUMMYFUNCTION("""COMPUTED_VALUE"""),"ZŠ")</f>
        <v>ZŠ</v>
      </c>
      <c r="E44" s="10">
        <f t="shared" si="0"/>
        <v>4.1666666666666664E-2</v>
      </c>
      <c r="F44" s="12"/>
      <c r="G44" s="12"/>
      <c r="H44" s="12"/>
      <c r="I44" s="12"/>
      <c r="J44" s="12">
        <v>4.1666666666666664E-2</v>
      </c>
    </row>
    <row r="45" spans="1:10" ht="26.4">
      <c r="A45" s="15">
        <f ca="1">IFERROR(__xludf.DUMMYFUNCTION("""COMPUTED_VALUE"""),163)</f>
        <v>163</v>
      </c>
      <c r="B45" s="17" t="str">
        <f ca="1">IFERROR(__xludf.DUMMYFUNCTION("""COMPUTED_VALUE"""),"Bunlab Team I")</f>
        <v>Bunlab Team I</v>
      </c>
      <c r="C45" s="17" t="str">
        <f ca="1">IFERROR(__xludf.DUMMYFUNCTION("""COMPUTED_VALUE"""),"PSP Polska Nowa Wieś")</f>
        <v>PSP Polska Nowa Wieś</v>
      </c>
      <c r="D45" s="24" t="str">
        <f ca="1">IFERROR(__xludf.DUMMYFUNCTION("""COMPUTED_VALUE"""),"ZŠ (6-15 years)")</f>
        <v>ZŠ (6-15 years)</v>
      </c>
      <c r="E45" s="10">
        <f t="shared" si="0"/>
        <v>4.2175925925925926E-4</v>
      </c>
      <c r="F45" s="12">
        <v>6.578703703703704E-4</v>
      </c>
      <c r="G45" s="12">
        <v>4.2175925925925926E-4</v>
      </c>
      <c r="H45" s="12"/>
      <c r="I45" s="12"/>
      <c r="J45" s="12">
        <v>4.1666666666666664E-2</v>
      </c>
    </row>
    <row r="46" spans="1:10" ht="26.4">
      <c r="A46" s="15">
        <f ca="1">IFERROR(__xludf.DUMMYFUNCTION("""COMPUTED_VALUE"""),164)</f>
        <v>164</v>
      </c>
      <c r="B46" s="17" t="str">
        <f ca="1">IFERROR(__xludf.DUMMYFUNCTION("""COMPUTED_VALUE"""),"Bunlab Team II")</f>
        <v>Bunlab Team II</v>
      </c>
      <c r="C46" s="28" t="str">
        <f ca="1">IFERROR(__xludf.DUMMYFUNCTION("""COMPUTED_VALUE"""),"PSP Polska Nowa Wieś")</f>
        <v>PSP Polska Nowa Wieś</v>
      </c>
      <c r="D46" s="24" t="str">
        <f ca="1">IFERROR(__xludf.DUMMYFUNCTION("""COMPUTED_VALUE"""),"ZŠ (6-15 years)")</f>
        <v>ZŠ (6-15 years)</v>
      </c>
      <c r="E46" s="10">
        <f t="shared" si="0"/>
        <v>4.1666666666666664E-2</v>
      </c>
      <c r="F46" s="12"/>
      <c r="G46" s="12"/>
      <c r="H46" s="12"/>
      <c r="I46" s="12"/>
      <c r="J46" s="12">
        <v>4.1666666666666664E-2</v>
      </c>
    </row>
    <row r="47" spans="1:10" ht="27.6">
      <c r="A47" s="15">
        <f ca="1">IFERROR(__xludf.DUMMYFUNCTION("""COMPUTED_VALUE"""),165)</f>
        <v>165</v>
      </c>
      <c r="B47" s="17" t="str">
        <f ca="1">IFERROR(__xludf.DUMMYFUNCTION("""COMPUTED_VALUE"""),"Bunlab Team III")</f>
        <v>Bunlab Team III</v>
      </c>
      <c r="C47" s="17" t="str">
        <f ca="1">IFERROR(__xludf.DUMMYFUNCTION("""COMPUTED_VALUE"""),"TAK im. Ireny Sendlerowej Opole")</f>
        <v>TAK im. Ireny Sendlerowej Opole</v>
      </c>
      <c r="D47" s="24" t="str">
        <f ca="1">IFERROR(__xludf.DUMMYFUNCTION("""COMPUTED_VALUE"""),"ZŠ (6-15 years)")</f>
        <v>ZŠ (6-15 years)</v>
      </c>
      <c r="E47" s="10">
        <f t="shared" si="0"/>
        <v>4.1666666666666664E-2</v>
      </c>
      <c r="F47" s="12"/>
      <c r="G47" s="12"/>
      <c r="H47" s="12"/>
      <c r="I47" s="12"/>
      <c r="J47" s="12">
        <v>4.1666666666666664E-2</v>
      </c>
    </row>
    <row r="48" spans="1:10" ht="26.4">
      <c r="A48" s="15">
        <f ca="1">IFERROR(__xludf.DUMMYFUNCTION("""COMPUTED_VALUE"""),166)</f>
        <v>166</v>
      </c>
      <c r="B48" s="17" t="str">
        <f ca="1">IFERROR(__xludf.DUMMYFUNCTION("""COMPUTED_VALUE"""),"Bunlab Team IV")</f>
        <v>Bunlab Team IV</v>
      </c>
      <c r="C48" s="17" t="str">
        <f ca="1">IFERROR(__xludf.DUMMYFUNCTION("""COMPUTED_VALUE"""),"LO Nr 1 Opole")</f>
        <v>LO Nr 1 Opole</v>
      </c>
      <c r="D48" s="24" t="str">
        <f ca="1">IFERROR(__xludf.DUMMYFUNCTION("""COMPUTED_VALUE"""),"SŠ (15-19 years)")</f>
        <v>SŠ (15-19 years)</v>
      </c>
      <c r="E48" s="10">
        <f t="shared" si="0"/>
        <v>4.1666666666666664E-2</v>
      </c>
      <c r="F48" s="12"/>
      <c r="G48" s="12"/>
      <c r="H48" s="12"/>
      <c r="I48" s="12"/>
      <c r="J48" s="12">
        <v>4.1666666666666664E-2</v>
      </c>
    </row>
    <row r="49" spans="1:10" ht="26.4">
      <c r="A49" s="15">
        <f ca="1">IFERROR(__xludf.DUMMYFUNCTION("""COMPUTED_VALUE"""),168)</f>
        <v>168</v>
      </c>
      <c r="B49" s="17" t="str">
        <f ca="1">IFERROR(__xludf.DUMMYFUNCTION("""COMPUTED_VALUE"""),"Bunlab Team VI")</f>
        <v>Bunlab Team VI</v>
      </c>
      <c r="C49" s="28" t="str">
        <f ca="1">IFERROR(__xludf.DUMMYFUNCTION("""COMPUTED_VALUE"""),"PSP Polska Nowa Wieś")</f>
        <v>PSP Polska Nowa Wieś</v>
      </c>
      <c r="D49" s="24" t="str">
        <f ca="1">IFERROR(__xludf.DUMMYFUNCTION("""COMPUTED_VALUE"""),"ZŠ (6-15 years)")</f>
        <v>ZŠ (6-15 years)</v>
      </c>
      <c r="E49" s="10">
        <f t="shared" si="0"/>
        <v>4.6874999999999998E-4</v>
      </c>
      <c r="F49" s="12">
        <v>5.7280092592592593E-4</v>
      </c>
      <c r="G49" s="12">
        <v>4.6874999999999998E-4</v>
      </c>
      <c r="H49" s="12"/>
      <c r="I49" s="12"/>
      <c r="J49" s="12">
        <v>4.1666666666666664E-2</v>
      </c>
    </row>
    <row r="50" spans="1:10" ht="27.6">
      <c r="A50" s="15">
        <f ca="1">IFERROR(__xludf.DUMMYFUNCTION("""COMPUTED_VALUE"""),169)</f>
        <v>169</v>
      </c>
      <c r="B50" s="17" t="str">
        <f ca="1">IFERROR(__xludf.DUMMYFUNCTION("""COMPUTED_VALUE"""),"Bunlab Team VII")</f>
        <v>Bunlab Team VII</v>
      </c>
      <c r="C50" s="17" t="str">
        <f ca="1">IFERROR(__xludf.DUMMYFUNCTION("""COMPUTED_VALUE"""),"TAK im. Ireny Sendlerowej Opole")</f>
        <v>TAK im. Ireny Sendlerowej Opole</v>
      </c>
      <c r="D50" s="24" t="str">
        <f ca="1">IFERROR(__xludf.DUMMYFUNCTION("""COMPUTED_VALUE"""),"ZŠ (6-15 years)")</f>
        <v>ZŠ (6-15 years)</v>
      </c>
      <c r="E50" s="10">
        <f t="shared" si="0"/>
        <v>4.1666666666666664E-2</v>
      </c>
      <c r="F50" s="12"/>
      <c r="G50" s="12"/>
      <c r="H50" s="12"/>
      <c r="I50" s="12"/>
      <c r="J50" s="12">
        <v>4.1666666666666664E-2</v>
      </c>
    </row>
    <row r="51" spans="1:10" ht="26.4">
      <c r="A51" s="15">
        <f ca="1">IFERROR(__xludf.DUMMYFUNCTION("""COMPUTED_VALUE"""),170)</f>
        <v>170</v>
      </c>
      <c r="B51" s="17" t="str">
        <f ca="1">IFERROR(__xludf.DUMMYFUNCTION("""COMPUTED_VALUE"""),"Bunlab Team VIII")</f>
        <v>Bunlab Team VIII</v>
      </c>
      <c r="C51" s="17" t="str">
        <f ca="1">IFERROR(__xludf.DUMMYFUNCTION("""COMPUTED_VALUE"""),"LO Nr 1 Opole")</f>
        <v>LO Nr 1 Opole</v>
      </c>
      <c r="D51" s="24" t="str">
        <f ca="1">IFERROR(__xludf.DUMMYFUNCTION("""COMPUTED_VALUE"""),"ZŠ (6-15 years)")</f>
        <v>ZŠ (6-15 years)</v>
      </c>
      <c r="E51" s="10">
        <f t="shared" si="0"/>
        <v>3.9305555555555556E-4</v>
      </c>
      <c r="F51" s="12">
        <v>6.0775462962962964E-4</v>
      </c>
      <c r="G51" s="12">
        <v>3.9305555555555556E-4</v>
      </c>
      <c r="H51" s="12"/>
      <c r="I51" s="12"/>
      <c r="J51" s="12">
        <v>4.1666666666666664E-2</v>
      </c>
    </row>
    <row r="52" spans="1:10" ht="26.4">
      <c r="A52" s="15">
        <f ca="1">IFERROR(__xludf.DUMMYFUNCTION("""COMPUTED_VALUE"""),173)</f>
        <v>173</v>
      </c>
      <c r="B52" s="17" t="str">
        <f ca="1">IFERROR(__xludf.DUMMYFUNCTION("""COMPUTED_VALUE"""),"Bunlab Team XI")</f>
        <v>Bunlab Team XI</v>
      </c>
      <c r="C52" s="28" t="str">
        <f ca="1">IFERROR(__xludf.DUMMYFUNCTION("""COMPUTED_VALUE"""),"PSP Polska Nowa Wieś")</f>
        <v>PSP Polska Nowa Wieś</v>
      </c>
      <c r="D52" s="24" t="str">
        <f ca="1">IFERROR(__xludf.DUMMYFUNCTION("""COMPUTED_VALUE"""),"ZŠ (6-15 years)")</f>
        <v>ZŠ (6-15 years)</v>
      </c>
      <c r="E52" s="10">
        <f t="shared" si="0"/>
        <v>3.6921296296296295E-4</v>
      </c>
      <c r="F52" s="12">
        <v>3.6921296296296295E-4</v>
      </c>
      <c r="G52" s="12"/>
      <c r="H52" s="12"/>
      <c r="I52" s="12"/>
      <c r="J52" s="12">
        <v>4.1666666666666664E-2</v>
      </c>
    </row>
    <row r="53" spans="1:10" ht="27.6">
      <c r="A53" s="15">
        <f ca="1">IFERROR(__xludf.DUMMYFUNCTION("""COMPUTED_VALUE"""),188)</f>
        <v>188</v>
      </c>
      <c r="B53" s="17" t="str">
        <f ca="1">IFERROR(__xludf.DUMMYFUNCTION("""COMPUTED_VALUE"""),"Kyberneťáci")</f>
        <v>Kyberneťáci</v>
      </c>
      <c r="C53" s="17" t="str">
        <f ca="1">IFERROR(__xludf.DUMMYFUNCTION("""COMPUTED_VALUE"""),"Kroužky kybernetiky VŠB Ostrava")</f>
        <v>Kroužky kybernetiky VŠB Ostrava</v>
      </c>
      <c r="D53" s="24" t="str">
        <f ca="1">IFERROR(__xludf.DUMMYFUNCTION("""COMPUTED_VALUE"""),"SŠ")</f>
        <v>SŠ</v>
      </c>
      <c r="E53" s="10">
        <f t="shared" si="0"/>
        <v>9.5983796296296301E-4</v>
      </c>
      <c r="F53" s="12">
        <v>9.5983796296296301E-4</v>
      </c>
      <c r="G53" s="12"/>
      <c r="H53" s="12"/>
      <c r="I53" s="12"/>
      <c r="J53" s="12">
        <v>4.1666666666666664E-2</v>
      </c>
    </row>
    <row r="54" spans="1:10" ht="13.8">
      <c r="A54" s="34"/>
      <c r="B54" s="17"/>
      <c r="C54" s="17"/>
      <c r="D54" s="24"/>
      <c r="E54" s="10">
        <f t="shared" si="0"/>
        <v>4.1666666666666664E-2</v>
      </c>
      <c r="F54" s="12"/>
      <c r="G54" s="12"/>
      <c r="H54" s="12"/>
      <c r="I54" s="12"/>
      <c r="J54" s="12">
        <v>4.1666666666666664E-2</v>
      </c>
    </row>
    <row r="55" spans="1:10" ht="13.8">
      <c r="A55" s="34"/>
      <c r="B55" s="17"/>
      <c r="C55" s="17"/>
      <c r="D55" s="24"/>
      <c r="E55" s="10">
        <f t="shared" si="0"/>
        <v>4.1666666666666664E-2</v>
      </c>
      <c r="F55" s="12"/>
      <c r="G55" s="12"/>
      <c r="H55" s="12"/>
      <c r="I55" s="12"/>
      <c r="J55" s="12">
        <v>4.1666666666666664E-2</v>
      </c>
    </row>
    <row r="56" spans="1:10" ht="13.2">
      <c r="A56" s="40"/>
      <c r="B56" s="24"/>
      <c r="C56" s="24"/>
      <c r="D56" s="24"/>
      <c r="E56" s="10">
        <f t="shared" si="0"/>
        <v>4.1666666666666664E-2</v>
      </c>
      <c r="F56" s="12"/>
      <c r="G56" s="12"/>
      <c r="H56" s="12"/>
      <c r="I56" s="12"/>
      <c r="J56" s="12">
        <v>4.1666666666666664E-2</v>
      </c>
    </row>
    <row r="57" spans="1:10" ht="13.2">
      <c r="A57" s="40"/>
      <c r="B57" s="24"/>
      <c r="C57" s="24"/>
      <c r="D57" s="24"/>
      <c r="E57" s="10">
        <f t="shared" si="0"/>
        <v>4.1666666666666664E-2</v>
      </c>
      <c r="F57" s="12"/>
      <c r="G57" s="12"/>
      <c r="H57" s="12"/>
      <c r="I57" s="12"/>
      <c r="J57" s="12">
        <v>4.1666666666666664E-2</v>
      </c>
    </row>
    <row r="58" spans="1:10" ht="13.2">
      <c r="A58" s="40"/>
      <c r="B58" s="24"/>
      <c r="C58" s="24"/>
      <c r="D58" s="24"/>
      <c r="E58" s="10">
        <f t="shared" si="0"/>
        <v>4.1666666666666664E-2</v>
      </c>
      <c r="F58" s="12"/>
      <c r="G58" s="12"/>
      <c r="H58" s="12"/>
      <c r="I58" s="12"/>
      <c r="J58" s="12">
        <v>4.1666666666666664E-2</v>
      </c>
    </row>
    <row r="59" spans="1:10" ht="13.2">
      <c r="A59" s="40"/>
      <c r="B59" s="24"/>
      <c r="C59" s="24"/>
      <c r="D59" s="24"/>
      <c r="E59" s="10">
        <f t="shared" si="0"/>
        <v>4.1666666666666664E-2</v>
      </c>
      <c r="F59" s="12"/>
      <c r="G59" s="12"/>
      <c r="H59" s="12"/>
      <c r="I59" s="12"/>
      <c r="J59" s="12">
        <v>4.1666666666666664E-2</v>
      </c>
    </row>
    <row r="60" spans="1:10" ht="13.2">
      <c r="A60" s="40"/>
      <c r="B60" s="24"/>
      <c r="C60" s="24"/>
      <c r="D60" s="24"/>
      <c r="E60" s="10">
        <f t="shared" si="0"/>
        <v>4.1666666666666664E-2</v>
      </c>
      <c r="F60" s="12"/>
      <c r="G60" s="12"/>
      <c r="H60" s="12"/>
      <c r="I60" s="12"/>
      <c r="J60" s="12">
        <v>4.1666666666666664E-2</v>
      </c>
    </row>
    <row r="61" spans="1:10" ht="13.2">
      <c r="A61" s="41"/>
      <c r="B61" s="42"/>
      <c r="C61" s="42"/>
      <c r="D61" s="24"/>
      <c r="E61" s="10">
        <f t="shared" si="0"/>
        <v>4.1666666666666664E-2</v>
      </c>
      <c r="F61" s="36"/>
      <c r="G61" s="36"/>
      <c r="H61" s="36"/>
      <c r="I61" s="36"/>
      <c r="J61" s="12">
        <v>4.1666666666666664E-2</v>
      </c>
    </row>
  </sheetData>
  <autoFilter ref="A2:J61">
    <sortState ref="A2:J61">
      <sortCondition ref="E2:E61"/>
      <sortCondition ref="A2:A61"/>
    </sortState>
  </autoFilter>
  <customSheetViews>
    <customSheetView guid="{C98B61DE-1488-42D3-A131-052C1E54C125}" filter="1" showAutoFilter="1">
      <pageMargins left="0.7" right="0.7" top="0.75" bottom="0.75" header="0.3" footer="0.3"/>
      <autoFilter ref="L6"/>
    </customSheetView>
  </customSheetViews>
  <mergeCells count="2">
    <mergeCell ref="A1:E1"/>
    <mergeCell ref="F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1"/>
  <sheetViews>
    <sheetView workbookViewId="0"/>
  </sheetViews>
  <sheetFormatPr defaultColWidth="14.44140625" defaultRowHeight="15.75" customHeight="1"/>
  <cols>
    <col min="1" max="1" width="11.44140625" customWidth="1"/>
    <col min="2" max="2" width="21.6640625" customWidth="1"/>
    <col min="3" max="3" width="28.44140625" customWidth="1"/>
    <col min="4" max="4" width="11.109375" customWidth="1"/>
    <col min="6" max="6" width="11.44140625" customWidth="1"/>
    <col min="7" max="11" width="8.33203125" customWidth="1"/>
  </cols>
  <sheetData>
    <row r="1" spans="1:11" ht="13.2">
      <c r="A1" s="171" t="s">
        <v>2</v>
      </c>
      <c r="B1" s="167"/>
      <c r="C1" s="167"/>
      <c r="D1" s="167"/>
      <c r="E1" s="168"/>
      <c r="F1" s="2"/>
      <c r="G1" s="172" t="s">
        <v>4</v>
      </c>
      <c r="H1" s="170"/>
      <c r="I1" s="170"/>
      <c r="J1" s="170"/>
      <c r="K1" s="4"/>
    </row>
    <row r="2" spans="1:11" ht="16.5" customHeight="1">
      <c r="A2" s="3" t="s">
        <v>5</v>
      </c>
      <c r="B2" s="3" t="s">
        <v>6</v>
      </c>
      <c r="C2" s="3" t="s">
        <v>7</v>
      </c>
      <c r="D2" s="3" t="s">
        <v>8</v>
      </c>
      <c r="E2" s="3" t="s">
        <v>10</v>
      </c>
      <c r="F2" s="7" t="s">
        <v>11</v>
      </c>
      <c r="G2" s="4" t="s">
        <v>14</v>
      </c>
      <c r="H2" s="4" t="s">
        <v>15</v>
      </c>
      <c r="I2" s="4" t="s">
        <v>16</v>
      </c>
      <c r="J2" s="4" t="s">
        <v>17</v>
      </c>
      <c r="K2" s="4"/>
    </row>
    <row r="3" spans="1:11" ht="17.25" customHeight="1">
      <c r="A3" s="14">
        <f>DM_pavouk!B5</f>
        <v>21</v>
      </c>
      <c r="B3" s="14" t="str">
        <f t="shared" ref="B3:B10" ca="1" si="0">IFERROR(VLOOKUP(A3,DM,2,FALSE),"")</f>
        <v>Crystal Cat</v>
      </c>
      <c r="C3" s="18" t="str">
        <f t="shared" ref="C3:C10" ca="1" si="1">IFERROR(VLOOKUP(A3,DM,3,FALSE),"")</f>
        <v>Klub sportovní robotiky "RoboMaker" Kyjev (UA)</v>
      </c>
      <c r="D3" s="18" t="str">
        <f t="shared" ref="D3:D10" ca="1" si="2">IFERROR(VLOOKUP(A3,DM,4,FALSE),"")</f>
        <v>ZŠ</v>
      </c>
      <c r="E3" s="19">
        <f t="shared" ref="E3:E10" ca="1" si="3">IFERROR(VLOOKUP(A3,DM,5,FALSE),"")</f>
        <v>1.7604166666666669E-4</v>
      </c>
      <c r="F3" s="20">
        <v>1</v>
      </c>
      <c r="G3" s="22">
        <f>DM_pavouk!H5</f>
        <v>2.016203703703704E-4</v>
      </c>
      <c r="H3" s="26">
        <f>IF(DM_pavouk!$J$6=A3,DM_pavouk!$L$6,"-")</f>
        <v>1.9872685185185187E-4</v>
      </c>
      <c r="I3" s="26" t="str">
        <f>IF(DM_pavouk!$N$10=A3,DM_pavouk!$P$10,"-")</f>
        <v>-</v>
      </c>
      <c r="J3" s="27">
        <f>IF(DM_pavouk!$N$6=A3,DM_pavouk!$P$6,"-")</f>
        <v>2.3043981481481483E-4</v>
      </c>
      <c r="K3" s="30"/>
    </row>
    <row r="4" spans="1:11" ht="17.25" customHeight="1">
      <c r="A4" s="14">
        <f>DM_pavouk!B12</f>
        <v>62</v>
      </c>
      <c r="B4" s="14" t="str">
        <f t="shared" ca="1" si="0"/>
        <v>TurboSPS</v>
      </c>
      <c r="C4" s="18" t="str">
        <f t="shared" ca="1" si="1"/>
        <v>SPŠ technická Martin</v>
      </c>
      <c r="D4" s="18" t="str">
        <f t="shared" ca="1" si="2"/>
        <v>SŠ</v>
      </c>
      <c r="E4" s="19">
        <f t="shared" ca="1" si="3"/>
        <v>2.921296296296296E-4</v>
      </c>
      <c r="F4" s="35">
        <v>8</v>
      </c>
      <c r="G4" s="22">
        <f>DM_pavouk!H6</f>
        <v>5.6921296296296299E-4</v>
      </c>
      <c r="H4" s="26" t="str">
        <f>IF(DM_pavouk!$J$6=A4,DM_pavouk!$L$6,"-")</f>
        <v>-</v>
      </c>
      <c r="I4" s="26" t="str">
        <f>IF(DM_pavouk!$N$10=A4,DM_pavouk!$P$10,"-")</f>
        <v>-</v>
      </c>
      <c r="J4" s="30" t="str">
        <f>IF(DM_pavouk!$N$6=A4,DM_pavouk!$P$6,"-")</f>
        <v>-</v>
      </c>
      <c r="K4" s="30"/>
    </row>
    <row r="5" spans="1:11" ht="41.4">
      <c r="A5" s="14">
        <f>DM_pavouk!B8</f>
        <v>19</v>
      </c>
      <c r="B5" s="14" t="str">
        <f t="shared" ca="1" si="0"/>
        <v>ERA</v>
      </c>
      <c r="C5" s="18" t="str">
        <f t="shared" ca="1" si="1"/>
        <v>Klub sportovní robotiky "RoboMaker" Bilohorodka (UA)</v>
      </c>
      <c r="D5" s="18" t="str">
        <f t="shared" ca="1" si="2"/>
        <v>ZŠ</v>
      </c>
      <c r="E5" s="19">
        <f t="shared" ca="1" si="3"/>
        <v>2.3611111111111109E-4</v>
      </c>
      <c r="F5" s="37">
        <v>4</v>
      </c>
      <c r="G5" s="22">
        <f>DM_pavouk!H7</f>
        <v>2.6909722222222222E-4</v>
      </c>
      <c r="H5" s="26">
        <f>IF(DM_pavouk!$J$7=A5,DM_pavouk!$L$7,"-")</f>
        <v>5.3483796296296298E-4</v>
      </c>
      <c r="I5" s="26">
        <f>IF(DM_pavouk!$N$10=A5,DM_pavouk!$P$10,"-")</f>
        <v>2.3194444444444442E-4</v>
      </c>
      <c r="J5" s="30" t="str">
        <f>IF(DM_pavouk!$N$6=A5,DM_pavouk!$P$6,"-")</f>
        <v>-</v>
      </c>
      <c r="K5" s="30"/>
    </row>
    <row r="6" spans="1:11" ht="27.6">
      <c r="A6" s="14">
        <f>DM_pavouk!B9</f>
        <v>124</v>
      </c>
      <c r="B6" s="14" t="str">
        <f t="shared" ca="1" si="0"/>
        <v>GMCT major</v>
      </c>
      <c r="C6" s="18" t="str">
        <f t="shared" ca="1" si="1"/>
        <v>Gymnázium Josefa Božka Český Těšín</v>
      </c>
      <c r="D6" s="18" t="str">
        <f t="shared" ca="1" si="2"/>
        <v>SŠ</v>
      </c>
      <c r="E6" s="19">
        <f t="shared" ca="1" si="3"/>
        <v>2.59375E-4</v>
      </c>
      <c r="F6" s="32">
        <v>5</v>
      </c>
      <c r="G6" s="22">
        <f>DM_pavouk!H8</f>
        <v>6.6087962962962964E-4</v>
      </c>
      <c r="H6" s="26" t="str">
        <f>IF(DM_pavouk!$J$7=A6,DM_pavouk!$L$7,"-")</f>
        <v>-</v>
      </c>
      <c r="I6" s="26" t="str">
        <f>IF(DM_pavouk!$N$10=A6,DM_pavouk!$P$10,"-")</f>
        <v>-</v>
      </c>
      <c r="J6" s="30" t="str">
        <f>IF(DM_pavouk!$N$6=A6,DM_pavouk!$P$6,"-")</f>
        <v>-</v>
      </c>
      <c r="K6" s="30"/>
    </row>
    <row r="7" spans="1:11" ht="27.6">
      <c r="A7" s="14">
        <f>DM_pavouk!B6</f>
        <v>149</v>
      </c>
      <c r="B7" s="14" t="str">
        <f t="shared" ca="1" si="0"/>
        <v>TÉKÁČKO</v>
      </c>
      <c r="C7" s="18" t="str">
        <f t="shared" ca="1" si="1"/>
        <v>Technologický klub Albrechtice n/Orlicí</v>
      </c>
      <c r="D7" s="18" t="str">
        <f t="shared" ca="1" si="2"/>
        <v>ZŠ</v>
      </c>
      <c r="E7" s="19">
        <f t="shared" ca="1" si="3"/>
        <v>1.8356481481481482E-4</v>
      </c>
      <c r="F7" s="32">
        <v>2</v>
      </c>
      <c r="G7" s="22">
        <f>DM_pavouk!H9</f>
        <v>3.3460648148148146E-4</v>
      </c>
      <c r="H7" s="26">
        <f>IF(DM_pavouk!$J$10=A7,DM_pavouk!$L$10,"-")</f>
        <v>3.3391203703703708E-4</v>
      </c>
      <c r="I7" s="26">
        <f>IF(DM_pavouk!$N$11=A7,DM_pavouk!$P$11,"-")</f>
        <v>2.3969907407407409E-4</v>
      </c>
      <c r="J7" s="30" t="str">
        <f>IF(DM_pavouk!$N$7=A7,DM_pavouk!$P$7,"-")</f>
        <v>-</v>
      </c>
      <c r="K7" s="30"/>
    </row>
    <row r="8" spans="1:11" ht="13.8">
      <c r="A8" s="14">
        <f>DM_pavouk!B11</f>
        <v>150</v>
      </c>
      <c r="B8" s="14" t="str">
        <f t="shared" ca="1" si="0"/>
        <v>Gearshift</v>
      </c>
      <c r="C8" s="18" t="str">
        <f t="shared" ca="1" si="1"/>
        <v>VOŠ, SŠ, COP Sezimovo Ústí</v>
      </c>
      <c r="D8" s="18" t="str">
        <f t="shared" ca="1" si="2"/>
        <v>SŠ</v>
      </c>
      <c r="E8" s="19">
        <f t="shared" ca="1" si="3"/>
        <v>2.769675925925926E-4</v>
      </c>
      <c r="F8" s="32">
        <v>7</v>
      </c>
      <c r="G8" s="22">
        <f>DM_pavouk!H10</f>
        <v>6.6678240740740738E-4</v>
      </c>
      <c r="H8" s="26" t="str">
        <f>IF(DM_pavouk!$J$10=A8,DM_pavouk!$L$10,"-")</f>
        <v>-</v>
      </c>
      <c r="I8" s="26" t="str">
        <f>IF(DM_pavouk!$N$11=A8,DM_pavouk!$P$11,"-")</f>
        <v>-</v>
      </c>
      <c r="J8" s="30" t="str">
        <f>IF(DM_pavouk!$N$7=A8,DM_pavouk!$P$7,"-")</f>
        <v>-</v>
      </c>
      <c r="K8" s="30"/>
    </row>
    <row r="9" spans="1:11" ht="27.6">
      <c r="A9" s="14">
        <f>DM_pavouk!B7</f>
        <v>71</v>
      </c>
      <c r="B9" s="14" t="str">
        <f t="shared" ca="1" si="0"/>
        <v>Programmers</v>
      </c>
      <c r="C9" s="18" t="str">
        <f t="shared" ca="1" si="1"/>
        <v>ZŠ Nové Zámky, Nábrežná 95,</v>
      </c>
      <c r="D9" s="18" t="str">
        <f t="shared" ca="1" si="2"/>
        <v>ZŠ</v>
      </c>
      <c r="E9" s="19">
        <f t="shared" ca="1" si="3"/>
        <v>1.8842592592592595E-4</v>
      </c>
      <c r="F9" s="32">
        <v>3</v>
      </c>
      <c r="G9" s="22">
        <f>DM_pavouk!H11</f>
        <v>2.0763888888888891E-4</v>
      </c>
      <c r="H9" s="26">
        <f>IF(DM_pavouk!$J$11=A9,DM_pavouk!$L$11,"-")</f>
        <v>1.8391203703703704E-4</v>
      </c>
      <c r="I9" s="26" t="str">
        <f>IF(DM_pavouk!$N$11=A9,DM_pavouk!$P$11,"-")</f>
        <v>-</v>
      </c>
      <c r="J9" s="27">
        <f>IF(DM_pavouk!$N$7=A9,DM_pavouk!$P$7,"-")</f>
        <v>2.3182870370370371E-4</v>
      </c>
      <c r="K9" s="30"/>
    </row>
    <row r="10" spans="1:11" ht="13.8">
      <c r="A10" s="14">
        <f>DM_pavouk!B10</f>
        <v>123</v>
      </c>
      <c r="B10" s="14" t="str">
        <f t="shared" ca="1" si="0"/>
        <v>Bez problému</v>
      </c>
      <c r="C10" s="18" t="str">
        <f t="shared" ca="1" si="1"/>
        <v>Gymnázium Jihlava</v>
      </c>
      <c r="D10" s="18" t="str">
        <f t="shared" ca="1" si="2"/>
        <v>SŠ</v>
      </c>
      <c r="E10" s="19">
        <f t="shared" ca="1" si="3"/>
        <v>2.7604166666666668E-4</v>
      </c>
      <c r="F10" s="32">
        <v>6</v>
      </c>
      <c r="G10" s="22">
        <f>DM_pavouk!H12</f>
        <v>3.517361111111111E-4</v>
      </c>
      <c r="H10" s="26" t="str">
        <f>IF(DM_pavouk!$J$11=A10,DM_pavouk!$L$11,"-")</f>
        <v>-</v>
      </c>
      <c r="I10" s="26" t="str">
        <f>IF(DM_pavouk!$N$11=A10,DM_pavouk!$P$11,"-")</f>
        <v>-</v>
      </c>
      <c r="J10" s="30" t="str">
        <f>IF(DM_pavouk!$N$7=A10,DM_pavouk!$P$7,"-")</f>
        <v>-</v>
      </c>
      <c r="K10" s="30"/>
    </row>
    <row r="11" spans="1:11" ht="13.2">
      <c r="F11" s="26"/>
      <c r="G11" s="26"/>
      <c r="H11" s="26"/>
      <c r="I11" s="26"/>
    </row>
    <row r="12" spans="1:11" ht="13.2" hidden="1">
      <c r="A12" s="171" t="s">
        <v>24</v>
      </c>
      <c r="B12" s="167"/>
      <c r="C12" s="167"/>
      <c r="D12" s="167"/>
      <c r="E12" s="168"/>
      <c r="F12" s="2"/>
      <c r="G12" s="172" t="s">
        <v>4</v>
      </c>
      <c r="H12" s="170"/>
      <c r="I12" s="170"/>
      <c r="J12" s="170"/>
    </row>
    <row r="13" spans="1:11" ht="16.5" hidden="1" customHeight="1">
      <c r="A13" s="3" t="s">
        <v>5</v>
      </c>
      <c r="B13" s="3" t="s">
        <v>6</v>
      </c>
      <c r="C13" s="3" t="s">
        <v>7</v>
      </c>
      <c r="D13" s="3" t="s">
        <v>8</v>
      </c>
      <c r="E13" s="3" t="s">
        <v>10</v>
      </c>
      <c r="F13" s="7" t="s">
        <v>11</v>
      </c>
      <c r="G13" s="4" t="s">
        <v>14</v>
      </c>
      <c r="H13" s="4" t="s">
        <v>15</v>
      </c>
      <c r="I13" s="4" t="s">
        <v>16</v>
      </c>
      <c r="J13" s="4" t="s">
        <v>17</v>
      </c>
      <c r="K13" s="4"/>
    </row>
    <row r="14" spans="1:11" ht="17.25" hidden="1" customHeight="1">
      <c r="A14" s="14">
        <f>DM_pavouk!B24</f>
        <v>0</v>
      </c>
      <c r="B14" s="14" t="str">
        <f ca="1">IFERROR(VLOOKUP(A14,DM!$A$3:$E$61,2,FALSE),"")</f>
        <v/>
      </c>
      <c r="C14" s="18" t="str">
        <f ca="1">IFERROR(VLOOKUP(A14,DM!$A$3:$E$61,3,FALSE),"")</f>
        <v/>
      </c>
      <c r="D14" s="18" t="str">
        <f ca="1">IFERROR(VLOOKUP(A14,DM!$A$3:$E$61,4,FALSE),"")</f>
        <v/>
      </c>
      <c r="E14" s="19" t="str">
        <f ca="1">IFERROR(VLOOKUP(A14,DM!$A$3:$E$61,5,FALSE),"")</f>
        <v/>
      </c>
      <c r="F14" s="20">
        <v>1</v>
      </c>
      <c r="G14" s="22">
        <f>DM_pavouk!H24</f>
        <v>0</v>
      </c>
      <c r="H14" s="26" t="str">
        <f>IF(DM_pavouk!$J$25=A14,DM_pavouk!$L$25,"-")</f>
        <v>-</v>
      </c>
      <c r="I14" s="26" t="str">
        <f>IF(DM_pavouk!$N$29=A14,DM_pavouk!$P$29,"-")</f>
        <v>-</v>
      </c>
      <c r="J14" s="27" t="str">
        <f>IF(DM_pavouk!$N$25=A14,DM_pavouk!$P$25,"-")</f>
        <v>-</v>
      </c>
      <c r="K14" s="30"/>
    </row>
    <row r="15" spans="1:11" ht="17.25" hidden="1" customHeight="1">
      <c r="A15" s="14">
        <f>DM_pavouk!B31</f>
        <v>0</v>
      </c>
      <c r="B15" s="14" t="str">
        <f ca="1">IFERROR(VLOOKUP(A15,DM!$A$3:$E$61,2,FALSE),"")</f>
        <v/>
      </c>
      <c r="C15" s="18" t="str">
        <f ca="1">IFERROR(VLOOKUP(A15,DM!$A$3:$E$61,3,FALSE),"")</f>
        <v/>
      </c>
      <c r="D15" s="18" t="str">
        <f ca="1">IFERROR(VLOOKUP(A15,DM!$A$3:$E$61,4,FALSE),"")</f>
        <v/>
      </c>
      <c r="E15" s="19" t="str">
        <f ca="1">IFERROR(VLOOKUP(A15,DM!$A$3:$E$61,5,FALSE),"")</f>
        <v/>
      </c>
      <c r="F15" s="35">
        <v>8</v>
      </c>
      <c r="G15" s="22">
        <f>DM_pavouk!H25</f>
        <v>0</v>
      </c>
      <c r="H15" s="26" t="str">
        <f>IF(DM_pavouk!$J$25=A15,DM_pavouk!$L$25,"-")</f>
        <v>-</v>
      </c>
      <c r="I15" s="26" t="str">
        <f>IF(DM_pavouk!$N$29=A15,DM_pavouk!$P$29,"-")</f>
        <v>-</v>
      </c>
      <c r="J15" s="27" t="str">
        <f>IF(DM_pavouk!$N$25=A15,DM_pavouk!$P$25,"-")</f>
        <v>-</v>
      </c>
      <c r="K15" s="30"/>
    </row>
    <row r="16" spans="1:11" ht="13.8" hidden="1">
      <c r="A16" s="14">
        <f>DM_pavouk!B27</f>
        <v>0</v>
      </c>
      <c r="B16" s="14" t="str">
        <f ca="1">IFERROR(VLOOKUP(A16,DM!$A$3:$E$61,2,FALSE),"")</f>
        <v/>
      </c>
      <c r="C16" s="18" t="str">
        <f ca="1">IFERROR(VLOOKUP(A16,DM!$A$3:$E$61,3,FALSE),"")</f>
        <v/>
      </c>
      <c r="D16" s="18" t="str">
        <f ca="1">IFERROR(VLOOKUP(A16,DM!$A$3:$E$61,4,FALSE),"")</f>
        <v/>
      </c>
      <c r="E16" s="19" t="str">
        <f ca="1">IFERROR(VLOOKUP(A16,DM!$A$3:$E$61,5,FALSE),"")</f>
        <v/>
      </c>
      <c r="F16" s="37">
        <v>4</v>
      </c>
      <c r="G16" s="22">
        <f>DM_pavouk!H26</f>
        <v>0</v>
      </c>
      <c r="H16" s="26" t="str">
        <f>IF(DM_pavouk!$J$26=A16,DM_pavouk!$L$26,"-")</f>
        <v>-</v>
      </c>
      <c r="I16" s="26" t="str">
        <f>IF(DM_pavouk!$N$29=A16,DM_pavouk!$P$29,"-")</f>
        <v>-</v>
      </c>
      <c r="J16" s="27" t="str">
        <f>IF(DM_pavouk!$N$25=A16,DM_pavouk!$P$25,"-")</f>
        <v>-</v>
      </c>
      <c r="K16" s="30"/>
    </row>
    <row r="17" spans="1:11" ht="13.8" hidden="1">
      <c r="A17" s="14">
        <f>DM_pavouk!B28</f>
        <v>0</v>
      </c>
      <c r="B17" s="14" t="str">
        <f ca="1">IFERROR(VLOOKUP(A17,DM!$A$3:$E$61,2,FALSE),"")</f>
        <v/>
      </c>
      <c r="C17" s="18" t="str">
        <f ca="1">IFERROR(VLOOKUP(A17,DM!$A$3:$E$61,3,FALSE),"")</f>
        <v/>
      </c>
      <c r="D17" s="18" t="str">
        <f ca="1">IFERROR(VLOOKUP(A17,DM!$A$3:$E$61,4,FALSE),"")</f>
        <v/>
      </c>
      <c r="E17" s="19" t="str">
        <f ca="1">IFERROR(VLOOKUP(A17,DM!$A$3:$E$61,5,FALSE),"")</f>
        <v/>
      </c>
      <c r="F17" s="32">
        <v>5</v>
      </c>
      <c r="G17" s="22">
        <f>DM_pavouk!H27</f>
        <v>0</v>
      </c>
      <c r="H17" s="26" t="str">
        <f>IF(DM_pavouk!$J$26=A17,DM_pavouk!$L$26,"-")</f>
        <v>-</v>
      </c>
      <c r="I17" s="26" t="str">
        <f>IF(DM_pavouk!$N$29=A17,DM_pavouk!$P$29,"-")</f>
        <v>-</v>
      </c>
      <c r="J17" s="27" t="str">
        <f>IF(DM_pavouk!$N$25=A17,DM_pavouk!$P$25,"-")</f>
        <v>-</v>
      </c>
      <c r="K17" s="30"/>
    </row>
    <row r="18" spans="1:11" ht="13.8" hidden="1">
      <c r="A18" s="14">
        <f>DM_pavouk!B25</f>
        <v>0</v>
      </c>
      <c r="B18" s="14" t="str">
        <f ca="1">IFERROR(VLOOKUP(A18,DM!$A$3:$E$61,2,FALSE),"")</f>
        <v/>
      </c>
      <c r="C18" s="18" t="str">
        <f ca="1">IFERROR(VLOOKUP(A18,DM!$A$3:$E$61,3,FALSE),"")</f>
        <v/>
      </c>
      <c r="D18" s="18" t="str">
        <f ca="1">IFERROR(VLOOKUP(A18,DM!$A$3:$E$61,4,FALSE),"")</f>
        <v/>
      </c>
      <c r="E18" s="19" t="str">
        <f ca="1">IFERROR(VLOOKUP(A18,DM!$A$3:$E$61,5,FALSE),"")</f>
        <v/>
      </c>
      <c r="F18" s="32">
        <v>2</v>
      </c>
      <c r="G18" s="22">
        <f>DM_pavouk!H28</f>
        <v>0</v>
      </c>
      <c r="H18" s="26" t="str">
        <f>IF(DM_pavouk!$J$29=A18,DM_pavouk!$L$29,"-")</f>
        <v>-</v>
      </c>
      <c r="I18" s="26" t="str">
        <f>IF(DM_pavouk!$N$30=A18,DM_pavouk!$P$30,"-")</f>
        <v>-</v>
      </c>
      <c r="J18" s="27" t="str">
        <f>IF(DM_pavouk!$N$26=A18,DM_pavouk!$P$26,"-")</f>
        <v>-</v>
      </c>
      <c r="K18" s="30"/>
    </row>
    <row r="19" spans="1:11" ht="13.8" hidden="1">
      <c r="A19" s="14">
        <f>DM_pavouk!B30</f>
        <v>0</v>
      </c>
      <c r="B19" s="14" t="str">
        <f ca="1">IFERROR(VLOOKUP(A19,DM!$A$3:$E$61,2,FALSE),"")</f>
        <v/>
      </c>
      <c r="C19" s="18" t="str">
        <f ca="1">IFERROR(VLOOKUP(A19,DM!$A$3:$E$61,3,FALSE),"")</f>
        <v/>
      </c>
      <c r="D19" s="18" t="str">
        <f ca="1">IFERROR(VLOOKUP(A19,DM!$A$3:$E$61,4,FALSE),"")</f>
        <v/>
      </c>
      <c r="E19" s="19" t="str">
        <f ca="1">IFERROR(VLOOKUP(A19,DM!$A$3:$E$61,5,FALSE),"")</f>
        <v/>
      </c>
      <c r="F19" s="32">
        <v>7</v>
      </c>
      <c r="G19" s="22">
        <f>DM_pavouk!H29</f>
        <v>0</v>
      </c>
      <c r="H19" s="26" t="str">
        <f>IF(DM_pavouk!$J$29=A19,DM_pavouk!$L$29,"-")</f>
        <v>-</v>
      </c>
      <c r="I19" s="26" t="str">
        <f>IF(DM_pavouk!$N$30=A19,DM_pavouk!$P$30,"-")</f>
        <v>-</v>
      </c>
      <c r="J19" s="27" t="str">
        <f>IF(DM_pavouk!$N$26=A19,DM_pavouk!$P$26,"-")</f>
        <v>-</v>
      </c>
      <c r="K19" s="30"/>
    </row>
    <row r="20" spans="1:11" ht="13.8" hidden="1">
      <c r="A20" s="14">
        <f>DM_pavouk!B26</f>
        <v>0</v>
      </c>
      <c r="B20" s="14" t="str">
        <f ca="1">IFERROR(VLOOKUP(A20,DM!$A$3:$E$61,2,FALSE),"")</f>
        <v/>
      </c>
      <c r="C20" s="18" t="str">
        <f ca="1">IFERROR(VLOOKUP(A20,DM!$A$3:$E$61,3,FALSE),"")</f>
        <v/>
      </c>
      <c r="D20" s="18" t="str">
        <f ca="1">IFERROR(VLOOKUP(A20,DM!$A$3:$E$61,4,FALSE),"")</f>
        <v/>
      </c>
      <c r="E20" s="19" t="str">
        <f ca="1">IFERROR(VLOOKUP(A20,DM!$A$3:$E$61,5,FALSE),"")</f>
        <v/>
      </c>
      <c r="F20" s="32">
        <v>3</v>
      </c>
      <c r="G20" s="22">
        <f>DM_pavouk!H30</f>
        <v>0</v>
      </c>
      <c r="H20" s="26" t="str">
        <f>IF(DM_pavouk!$J$30=A20,DM_pavouk!$L$30,"-")</f>
        <v>-</v>
      </c>
      <c r="I20" s="26" t="str">
        <f>IF(DM_pavouk!$N$30=A20,DM_pavouk!$P$30,"-")</f>
        <v>-</v>
      </c>
      <c r="J20" s="27" t="str">
        <f>IF(DM_pavouk!$N$26=A20,DM_pavouk!$P$26,"-")</f>
        <v>-</v>
      </c>
      <c r="K20" s="30"/>
    </row>
    <row r="21" spans="1:11" ht="13.8" hidden="1">
      <c r="A21" s="14">
        <f>DM_pavouk!B29</f>
        <v>0</v>
      </c>
      <c r="B21" s="14" t="str">
        <f ca="1">IFERROR(VLOOKUP(A21,DM!$A$3:$E$61,2,FALSE),"")</f>
        <v/>
      </c>
      <c r="C21" s="18" t="str">
        <f ca="1">IFERROR(VLOOKUP(A21,DM!$A$3:$E$61,3,FALSE),"")</f>
        <v/>
      </c>
      <c r="D21" s="18" t="str">
        <f ca="1">IFERROR(VLOOKUP(A21,DM!$A$3:$E$61,4,FALSE),"")</f>
        <v/>
      </c>
      <c r="E21" s="19" t="str">
        <f ca="1">IFERROR(VLOOKUP(A21,DM!$A$3:$E$61,5,FALSE),"")</f>
        <v/>
      </c>
      <c r="F21" s="32">
        <v>6</v>
      </c>
      <c r="G21" s="22">
        <f>DM_pavouk!H31</f>
        <v>0</v>
      </c>
      <c r="H21" s="26" t="str">
        <f>IF(DM_pavouk!$J$30=A21,DM_pavouk!$L$30,"-")</f>
        <v>-</v>
      </c>
      <c r="I21" s="26" t="str">
        <f>IF(DM_pavouk!$N$30=A21,DM_pavouk!$P$30,"-")</f>
        <v>-</v>
      </c>
      <c r="J21" s="27" t="str">
        <f>IF(DM_pavouk!$N$26=A21,DM_pavouk!$P$26,"-")</f>
        <v>-</v>
      </c>
      <c r="K21" s="30"/>
    </row>
  </sheetData>
  <mergeCells count="4">
    <mergeCell ref="A1:E1"/>
    <mergeCell ref="G1:J1"/>
    <mergeCell ref="A12:E12"/>
    <mergeCell ref="G12:J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outlinePr summaryBelow="0" summaryRight="0"/>
    <pageSetUpPr fitToPage="1"/>
  </sheetPr>
  <dimension ref="A1:Q37"/>
  <sheetViews>
    <sheetView workbookViewId="0"/>
  </sheetViews>
  <sheetFormatPr defaultColWidth="14.44140625" defaultRowHeight="15.75" customHeight="1"/>
  <cols>
    <col min="1" max="1" width="6.6640625" customWidth="1"/>
    <col min="2" max="2" width="5.33203125" customWidth="1"/>
    <col min="3" max="3" width="17.33203125" customWidth="1"/>
    <col min="4" max="4" width="7.33203125" customWidth="1"/>
    <col min="5" max="5" width="6.33203125" customWidth="1"/>
    <col min="6" max="6" width="5.33203125" customWidth="1"/>
    <col min="7" max="7" width="17.33203125" customWidth="1"/>
    <col min="8" max="8" width="7.33203125" customWidth="1"/>
    <col min="9" max="9" width="6.33203125" customWidth="1"/>
    <col min="10" max="10" width="5.33203125" customWidth="1"/>
    <col min="11" max="11" width="17.33203125" customWidth="1"/>
    <col min="12" max="12" width="7.33203125" customWidth="1"/>
    <col min="13" max="13" width="6.33203125" customWidth="1"/>
    <col min="14" max="14" width="5.33203125" customWidth="1"/>
    <col min="15" max="15" width="17.33203125" customWidth="1"/>
    <col min="16" max="16" width="7.33203125" customWidth="1"/>
    <col min="17" max="17" width="5.6640625" customWidth="1"/>
  </cols>
  <sheetData>
    <row r="1" spans="1:17" ht="22.8">
      <c r="A1" s="180" t="s">
        <v>26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3" spans="1:17" ht="13.2">
      <c r="A3" s="177" t="s">
        <v>27</v>
      </c>
      <c r="B3" s="170"/>
      <c r="C3" s="170"/>
      <c r="D3" s="170"/>
      <c r="E3" s="44"/>
      <c r="F3" s="177" t="s">
        <v>28</v>
      </c>
      <c r="G3" s="170"/>
      <c r="H3" s="170"/>
      <c r="I3" s="44"/>
      <c r="J3" s="177" t="s">
        <v>29</v>
      </c>
      <c r="K3" s="170"/>
      <c r="L3" s="170"/>
      <c r="M3" s="44"/>
      <c r="N3" s="177" t="s">
        <v>17</v>
      </c>
      <c r="O3" s="170"/>
      <c r="P3" s="170"/>
    </row>
    <row r="4" spans="1:17" ht="13.2">
      <c r="A4" s="45" t="s">
        <v>30</v>
      </c>
      <c r="B4" s="45" t="s">
        <v>31</v>
      </c>
      <c r="C4" s="45" t="s">
        <v>32</v>
      </c>
      <c r="D4" s="45" t="s">
        <v>33</v>
      </c>
      <c r="E4" s="45"/>
      <c r="F4" s="45" t="s">
        <v>31</v>
      </c>
      <c r="G4" s="45" t="s">
        <v>32</v>
      </c>
      <c r="H4" s="45" t="s">
        <v>33</v>
      </c>
      <c r="I4" s="45"/>
      <c r="J4" s="45" t="s">
        <v>31</v>
      </c>
      <c r="K4" s="45" t="s">
        <v>32</v>
      </c>
      <c r="L4" s="45" t="s">
        <v>33</v>
      </c>
      <c r="M4" s="45"/>
      <c r="N4" s="45" t="s">
        <v>31</v>
      </c>
      <c r="O4" s="45" t="s">
        <v>32</v>
      </c>
      <c r="P4" s="45" t="s">
        <v>33</v>
      </c>
    </row>
    <row r="5" spans="1:17" ht="13.8">
      <c r="A5" s="16">
        <v>1</v>
      </c>
      <c r="B5" s="16">
        <v>21</v>
      </c>
      <c r="C5" s="46" t="str">
        <f t="shared" ref="C5:C12" ca="1" si="0">IFERROR(VLOOKUP(B5,DM,2,FALSE),"")</f>
        <v>Crystal Cat</v>
      </c>
      <c r="D5" s="36">
        <f ca="1">VLOOKUP(B5,DM!$A$3:$E$61,5,FALSE)</f>
        <v>1.7604166666666669E-4</v>
      </c>
      <c r="F5" s="47">
        <f t="shared" ref="F5:G5" si="1">B5</f>
        <v>21</v>
      </c>
      <c r="G5" s="48" t="str">
        <f t="shared" ca="1" si="1"/>
        <v>Crystal Cat</v>
      </c>
      <c r="H5" s="49">
        <v>2.016203703703704E-4</v>
      </c>
    </row>
    <row r="6" spans="1:17" ht="13.8">
      <c r="A6" s="16">
        <v>2</v>
      </c>
      <c r="B6" s="16">
        <v>149</v>
      </c>
      <c r="C6" s="46" t="str">
        <f t="shared" ca="1" si="0"/>
        <v>TÉKÁČKO</v>
      </c>
      <c r="D6" s="36">
        <f ca="1">VLOOKUP(B6,DM!$A$3:$E$61,5,FALSE)</f>
        <v>1.8356481481481482E-4</v>
      </c>
      <c r="F6" s="52">
        <f t="shared" ref="F6:G6" si="2">B12</f>
        <v>62</v>
      </c>
      <c r="G6" s="53" t="str">
        <f t="shared" ca="1" si="2"/>
        <v>TurboSPS</v>
      </c>
      <c r="H6" s="54">
        <v>5.6921296296296299E-4</v>
      </c>
      <c r="J6" s="55">
        <f>IF(H5=H6,"",IF(H5&lt;H6,F5,F6))</f>
        <v>21</v>
      </c>
      <c r="K6" s="1" t="str">
        <f ca="1">IFERROR(VLOOKUP(J6,DM!$A$3:$E$41,2,FALSE),"")</f>
        <v>Crystal Cat</v>
      </c>
      <c r="L6" s="54">
        <v>1.9872685185185187E-4</v>
      </c>
      <c r="M6" s="16"/>
      <c r="N6" s="55">
        <f>IF(L6=L7,"",IF(L6&lt;L7,J6,J7))</f>
        <v>21</v>
      </c>
      <c r="O6" s="56" t="str">
        <f ca="1">IFERROR(VLOOKUP(N6,DM!$A$3:$E$41,2,FALSE),"")</f>
        <v>Crystal Cat</v>
      </c>
      <c r="P6" s="54">
        <v>2.3043981481481483E-4</v>
      </c>
    </row>
    <row r="7" spans="1:17" ht="13.8">
      <c r="A7" s="16">
        <v>3</v>
      </c>
      <c r="B7" s="16">
        <v>71</v>
      </c>
      <c r="C7" s="46" t="str">
        <f t="shared" ca="1" si="0"/>
        <v>Programmers</v>
      </c>
      <c r="D7" s="36">
        <f ca="1">VLOOKUP(B7,DM!$A$3:$E$61,5,FALSE)</f>
        <v>1.8842592592592595E-4</v>
      </c>
      <c r="F7" s="61">
        <f t="shared" ref="F7:G7" si="3">B8</f>
        <v>19</v>
      </c>
      <c r="G7" s="16" t="str">
        <f t="shared" ca="1" si="3"/>
        <v>ERA</v>
      </c>
      <c r="H7" s="62">
        <v>2.6909722222222222E-4</v>
      </c>
      <c r="J7" s="55">
        <f>IF(H7=H8,"",IF(H7&lt;H8,F7,F8))</f>
        <v>19</v>
      </c>
      <c r="K7" s="1" t="str">
        <f ca="1">IFERROR(VLOOKUP(J7,DM!$A$3:$E$41,2,FALSE),"")</f>
        <v>ERA</v>
      </c>
      <c r="L7" s="54">
        <v>5.3483796296296298E-4</v>
      </c>
      <c r="M7" s="16"/>
      <c r="N7" s="55">
        <f>IF(L10=L11,"",IF(L10&lt;L11,J10,J11))</f>
        <v>71</v>
      </c>
      <c r="O7" s="56" t="str">
        <f ca="1">IFERROR(VLOOKUP(N7,DM!$A$3:$E$41,2,FALSE),"")</f>
        <v>Programmers</v>
      </c>
      <c r="P7" s="54">
        <v>2.3182870370370371E-4</v>
      </c>
    </row>
    <row r="8" spans="1:17" ht="13.8">
      <c r="A8" s="16">
        <v>4</v>
      </c>
      <c r="B8" s="16">
        <v>19</v>
      </c>
      <c r="C8" s="46" t="str">
        <f t="shared" ca="1" si="0"/>
        <v>ERA</v>
      </c>
      <c r="D8" s="36">
        <f ca="1">VLOOKUP(B8,DM!$A$3:$E$61,5,FALSE)</f>
        <v>2.3611111111111109E-4</v>
      </c>
      <c r="F8" s="55">
        <f t="shared" ref="F8:G8" si="4">B9</f>
        <v>124</v>
      </c>
      <c r="G8" s="56" t="str">
        <f t="shared" ca="1" si="4"/>
        <v>GMCT major</v>
      </c>
      <c r="H8" s="54">
        <v>6.6087962962962964E-4</v>
      </c>
      <c r="L8" s="36"/>
      <c r="M8" s="16"/>
      <c r="N8" s="16"/>
    </row>
    <row r="9" spans="1:17" ht="13.8">
      <c r="A9" s="16">
        <v>5</v>
      </c>
      <c r="B9" s="16">
        <v>124</v>
      </c>
      <c r="C9" s="46" t="str">
        <f t="shared" ca="1" si="0"/>
        <v>GMCT major</v>
      </c>
      <c r="D9" s="36">
        <f ca="1">VLOOKUP(B9,DM!$A$3:$E$61,5,FALSE)</f>
        <v>2.59375E-4</v>
      </c>
      <c r="F9" s="68">
        <f t="shared" ref="F9:G9" si="5">B6</f>
        <v>149</v>
      </c>
      <c r="G9" s="71" t="str">
        <f t="shared" ca="1" si="5"/>
        <v>TÉKÁČKO</v>
      </c>
      <c r="H9" s="62">
        <v>3.3460648148148146E-4</v>
      </c>
      <c r="L9" s="36"/>
      <c r="M9" s="16"/>
      <c r="N9" s="177" t="s">
        <v>16</v>
      </c>
      <c r="O9" s="170"/>
      <c r="P9" s="170"/>
    </row>
    <row r="10" spans="1:17" ht="13.8">
      <c r="A10" s="16">
        <v>6</v>
      </c>
      <c r="B10" s="16">
        <v>123</v>
      </c>
      <c r="C10" s="46" t="str">
        <f t="shared" ca="1" si="0"/>
        <v>Bez problému</v>
      </c>
      <c r="D10" s="36">
        <f ca="1">VLOOKUP(B10,DM!$A$3:$E$61,5,FALSE)</f>
        <v>2.7604166666666668E-4</v>
      </c>
      <c r="F10" s="52">
        <f t="shared" ref="F10:G10" si="6">B11</f>
        <v>150</v>
      </c>
      <c r="G10" s="53" t="str">
        <f t="shared" ca="1" si="6"/>
        <v>Gearshift</v>
      </c>
      <c r="H10" s="54">
        <v>6.6678240740740738E-4</v>
      </c>
      <c r="J10" s="55">
        <f>IF(H9=H10,"",IF(H9&lt;H10,F9,F10))</f>
        <v>149</v>
      </c>
      <c r="K10" s="1" t="str">
        <f ca="1">IFERROR(VLOOKUP(J10,DM!$A$3:$E$41,2,FALSE),"")</f>
        <v>TÉKÁČKO</v>
      </c>
      <c r="L10" s="54">
        <v>3.3391203703703708E-4</v>
      </c>
      <c r="M10" s="16"/>
      <c r="N10" s="55">
        <f>IF(L6=L7,"",IF(L6&gt;L7,J6,J7))</f>
        <v>19</v>
      </c>
      <c r="O10" s="56" t="str">
        <f ca="1">IFERROR(VLOOKUP(N10,DM!$A$3:$E$41,2,FALSE),"")</f>
        <v>ERA</v>
      </c>
      <c r="P10" s="54">
        <v>2.3194444444444442E-4</v>
      </c>
    </row>
    <row r="11" spans="1:17" ht="13.8">
      <c r="A11" s="16">
        <v>7</v>
      </c>
      <c r="B11" s="16">
        <v>150</v>
      </c>
      <c r="C11" s="46" t="str">
        <f t="shared" ca="1" si="0"/>
        <v>Gearshift</v>
      </c>
      <c r="D11" s="36">
        <f ca="1">VLOOKUP(B11,DM!$A$3:$E$61,5,FALSE)</f>
        <v>2.769675925925926E-4</v>
      </c>
      <c r="F11" s="61">
        <f t="shared" ref="F11:G11" si="7">B7</f>
        <v>71</v>
      </c>
      <c r="G11" s="16" t="str">
        <f t="shared" ca="1" si="7"/>
        <v>Programmers</v>
      </c>
      <c r="H11" s="62">
        <v>2.0763888888888891E-4</v>
      </c>
      <c r="J11" s="55">
        <f>IF(H11=H12,"",IF(H11&lt;H12,F11,F12))</f>
        <v>71</v>
      </c>
      <c r="K11" s="1" t="str">
        <f ca="1">IFERROR(VLOOKUP(J11,DM!$A$3:$E$41,2,FALSE),"")</f>
        <v>Programmers</v>
      </c>
      <c r="L11" s="54">
        <v>1.8391203703703704E-4</v>
      </c>
      <c r="M11" s="16"/>
      <c r="N11" s="55">
        <f>IF(L10=L11,"",IF(L10&gt;L11,J10,J11))</f>
        <v>149</v>
      </c>
      <c r="O11" s="56" t="str">
        <f ca="1">IFERROR(VLOOKUP(N11,DM!$A$3:$E$41,2,FALSE),"")</f>
        <v>TÉKÁČKO</v>
      </c>
      <c r="P11" s="54">
        <v>2.3969907407407409E-4</v>
      </c>
    </row>
    <row r="12" spans="1:17" ht="13.8">
      <c r="A12" s="16">
        <v>8</v>
      </c>
      <c r="B12" s="16">
        <v>62</v>
      </c>
      <c r="C12" s="46" t="str">
        <f t="shared" ca="1" si="0"/>
        <v>TurboSPS</v>
      </c>
      <c r="D12" s="36">
        <f ca="1">VLOOKUP(B12,DM!$A$3:$E$61,5,FALSE)</f>
        <v>2.921296296296296E-4</v>
      </c>
      <c r="F12" s="55">
        <f t="shared" ref="F12:G12" si="8">B10</f>
        <v>123</v>
      </c>
      <c r="G12" s="56" t="str">
        <f t="shared" ca="1" si="8"/>
        <v>Bez problému</v>
      </c>
      <c r="H12" s="54">
        <v>3.517361111111111E-4</v>
      </c>
      <c r="P12" s="36"/>
    </row>
    <row r="13" spans="1:17" ht="13.2">
      <c r="H13" s="16"/>
    </row>
    <row r="14" spans="1:17" ht="13.2">
      <c r="E14" s="77"/>
      <c r="F14" s="77"/>
      <c r="G14" s="77"/>
      <c r="H14" s="78"/>
      <c r="I14" s="77"/>
      <c r="J14" s="77"/>
      <c r="K14" s="77"/>
      <c r="L14" s="77"/>
      <c r="M14" s="77"/>
      <c r="N14" s="77"/>
      <c r="O14" s="77"/>
      <c r="P14" s="77"/>
      <c r="Q14" s="77"/>
    </row>
    <row r="15" spans="1:17" ht="13.2">
      <c r="E15" s="77"/>
      <c r="F15" s="77"/>
      <c r="G15" s="77"/>
      <c r="H15" s="78"/>
      <c r="I15" s="79"/>
      <c r="J15" s="80">
        <f>IF(P6=P7,"",IF(P6&lt;P7,N6,N7))</f>
        <v>21</v>
      </c>
      <c r="K15" s="173" t="str">
        <f ca="1">IFERROR(VLOOKUP(J15,DM!$A$3:$E$41,2,FALSE),"")</f>
        <v>Crystal Cat</v>
      </c>
      <c r="L15" s="167"/>
      <c r="M15" s="77"/>
      <c r="N15" s="77"/>
      <c r="O15" s="77"/>
      <c r="P15" s="77"/>
      <c r="Q15" s="77"/>
    </row>
    <row r="16" spans="1:17" ht="13.2">
      <c r="E16" s="77"/>
      <c r="F16" s="83">
        <f>IF(P6=P7,"",IF(P6&gt;P7,N6,N7))</f>
        <v>71</v>
      </c>
      <c r="G16" s="178" t="str">
        <f ca="1">IFERROR(VLOOKUP(F16,DM!$A$3:$E$41,2,FALSE),"")</f>
        <v>Programmers</v>
      </c>
      <c r="H16" s="167"/>
      <c r="I16" s="77"/>
      <c r="J16" s="77"/>
      <c r="K16" s="77"/>
      <c r="L16" s="77"/>
      <c r="M16" s="84"/>
      <c r="N16" s="77"/>
      <c r="O16" s="77"/>
      <c r="P16" s="77"/>
      <c r="Q16" s="77"/>
    </row>
    <row r="17" spans="1:17" ht="13.2">
      <c r="E17" s="77"/>
      <c r="F17" s="84"/>
      <c r="G17" s="79"/>
      <c r="H17" s="79"/>
      <c r="I17" s="79"/>
      <c r="J17" s="174" t="s">
        <v>35</v>
      </c>
      <c r="K17" s="175"/>
      <c r="L17" s="175"/>
      <c r="M17" s="79"/>
      <c r="N17" s="85">
        <f>IF(P10=P11,"",IF(P10&lt;P11,N10,N11))</f>
        <v>19</v>
      </c>
      <c r="O17" s="176" t="str">
        <f ca="1">IFERROR(VLOOKUP(N17,DM!$A$3:$E$41,2,FALSE),"")</f>
        <v>ERA</v>
      </c>
      <c r="P17" s="167"/>
      <c r="Q17" s="77"/>
    </row>
    <row r="18" spans="1:17" ht="13.2"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</row>
    <row r="20" spans="1:17" ht="22.8" hidden="1">
      <c r="A20" s="179" t="s">
        <v>24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</row>
    <row r="21" spans="1:17" ht="13.2" hidden="1"/>
    <row r="22" spans="1:17" ht="13.2" hidden="1">
      <c r="A22" s="177" t="s">
        <v>27</v>
      </c>
      <c r="B22" s="170"/>
      <c r="C22" s="170"/>
      <c r="D22" s="170"/>
      <c r="E22" s="44"/>
      <c r="F22" s="177" t="s">
        <v>28</v>
      </c>
      <c r="G22" s="170"/>
      <c r="H22" s="170"/>
      <c r="I22" s="44"/>
      <c r="J22" s="177" t="s">
        <v>29</v>
      </c>
      <c r="K22" s="170"/>
      <c r="L22" s="170"/>
      <c r="M22" s="44"/>
      <c r="N22" s="177" t="s">
        <v>17</v>
      </c>
      <c r="O22" s="170"/>
      <c r="P22" s="170"/>
    </row>
    <row r="23" spans="1:17" ht="13.2" hidden="1">
      <c r="A23" s="45" t="s">
        <v>30</v>
      </c>
      <c r="B23" s="45" t="s">
        <v>31</v>
      </c>
      <c r="C23" s="45" t="s">
        <v>32</v>
      </c>
      <c r="D23" s="45" t="s">
        <v>33</v>
      </c>
      <c r="E23" s="45"/>
      <c r="F23" s="45" t="s">
        <v>31</v>
      </c>
      <c r="G23" s="45" t="s">
        <v>32</v>
      </c>
      <c r="H23" s="45" t="s">
        <v>33</v>
      </c>
      <c r="I23" s="45"/>
      <c r="J23" s="45" t="s">
        <v>31</v>
      </c>
      <c r="K23" s="45" t="s">
        <v>32</v>
      </c>
      <c r="L23" s="45" t="s">
        <v>33</v>
      </c>
      <c r="M23" s="45"/>
      <c r="N23" s="45" t="s">
        <v>31</v>
      </c>
      <c r="O23" s="45" t="s">
        <v>32</v>
      </c>
      <c r="P23" s="45" t="s">
        <v>33</v>
      </c>
    </row>
    <row r="24" spans="1:17" ht="13.8" hidden="1">
      <c r="A24" s="16">
        <v>1</v>
      </c>
      <c r="B24" s="46"/>
      <c r="C24" s="46" t="str">
        <f ca="1">IFERROR(VLOOKUP(B24,DM!$A$3:$E$61,2,FALSE),"")</f>
        <v/>
      </c>
      <c r="D24" t="e">
        <f ca="1">VLOOKUP(B24,DM!$A$3:$E$61,5,FALSE)</f>
        <v>#N/A</v>
      </c>
      <c r="F24" s="47">
        <f t="shared" ref="F24:G24" si="9">B24</f>
        <v>0</v>
      </c>
      <c r="G24" s="48" t="str">
        <f t="shared" ca="1" si="9"/>
        <v/>
      </c>
      <c r="H24" s="49"/>
    </row>
    <row r="25" spans="1:17" ht="13.8" hidden="1">
      <c r="A25" s="16">
        <v>2</v>
      </c>
      <c r="B25" s="86"/>
      <c r="C25" s="46" t="str">
        <f ca="1">IFERROR(VLOOKUP(B25,DM!$A$3:$E$61,2,FALSE),"")</f>
        <v/>
      </c>
      <c r="D25" t="e">
        <f ca="1">VLOOKUP(B25,DM!$A$3:$E$61,5,FALSE)</f>
        <v>#N/A</v>
      </c>
      <c r="F25" s="52">
        <f t="shared" ref="F25:G25" si="10">B31</f>
        <v>0</v>
      </c>
      <c r="G25" s="53" t="str">
        <f t="shared" ca="1" si="10"/>
        <v/>
      </c>
      <c r="H25" s="54"/>
      <c r="J25" s="55" t="str">
        <f>IF(H24=H25,"",IF(H24&lt;H25,F24,F25))</f>
        <v/>
      </c>
      <c r="K25" s="1" t="str">
        <f ca="1">IFERROR(VLOOKUP(J25,DM!$A$3:$E$61,2,FALSE),"")</f>
        <v/>
      </c>
      <c r="L25" s="54"/>
      <c r="M25" s="16"/>
      <c r="N25" s="55" t="str">
        <f>IF(L25=L26,"",IF(L25&lt;L26,J25,J26))</f>
        <v/>
      </c>
      <c r="O25" s="56" t="str">
        <f ca="1">IFERROR(VLOOKUP(N25,DM!$A$3:$E$61,2,FALSE),"")</f>
        <v/>
      </c>
      <c r="P25" s="54"/>
    </row>
    <row r="26" spans="1:17" ht="13.8" hidden="1">
      <c r="A26" s="16">
        <v>3</v>
      </c>
      <c r="B26" s="86"/>
      <c r="C26" s="46" t="str">
        <f ca="1">IFERROR(VLOOKUP(B26,DM!$A$3:$E$61,2,FALSE),"")</f>
        <v/>
      </c>
      <c r="D26" t="e">
        <f ca="1">VLOOKUP(B26,DM!$A$3:$E$61,5,FALSE)</f>
        <v>#N/A</v>
      </c>
      <c r="F26" s="61">
        <f t="shared" ref="F26:G26" si="11">B27</f>
        <v>0</v>
      </c>
      <c r="G26" s="16" t="str">
        <f t="shared" ca="1" si="11"/>
        <v/>
      </c>
      <c r="H26" s="62"/>
      <c r="J26" s="55" t="str">
        <f>IF(H26=H27,"",IF(H26&lt;H27,F26,F27))</f>
        <v/>
      </c>
      <c r="K26" s="1" t="str">
        <f ca="1">IFERROR(VLOOKUP(J26,DM!$A$3:$E$61,2,FALSE),"")</f>
        <v/>
      </c>
      <c r="L26" s="54"/>
      <c r="M26" s="16"/>
      <c r="N26" s="55" t="str">
        <f>IF(L29=L30,"",IF(L29&lt;L30,J29,J30))</f>
        <v/>
      </c>
      <c r="O26" s="56" t="str">
        <f ca="1">IFERROR(VLOOKUP(N26,DM!$A$3:$E$61,2,FALSE),"")</f>
        <v/>
      </c>
      <c r="P26" s="87"/>
    </row>
    <row r="27" spans="1:17" ht="13.8" hidden="1">
      <c r="A27" s="16">
        <v>4</v>
      </c>
      <c r="B27" s="86"/>
      <c r="C27" s="46" t="str">
        <f ca="1">IFERROR(VLOOKUP(B27,DM!$A$3:$E$61,2,FALSE),"")</f>
        <v/>
      </c>
      <c r="D27" t="e">
        <f ca="1">VLOOKUP(B27,DM!$A$3:$E$61,5,FALSE)</f>
        <v>#N/A</v>
      </c>
      <c r="F27" s="55">
        <f t="shared" ref="F27:G27" si="12">B28</f>
        <v>0</v>
      </c>
      <c r="G27" s="56" t="str">
        <f t="shared" ca="1" si="12"/>
        <v/>
      </c>
      <c r="H27" s="54"/>
      <c r="M27" s="16"/>
      <c r="N27" s="16"/>
    </row>
    <row r="28" spans="1:17" ht="13.8" hidden="1">
      <c r="A28" s="16">
        <v>5</v>
      </c>
      <c r="B28" s="86"/>
      <c r="C28" s="46" t="str">
        <f ca="1">IFERROR(VLOOKUP(B28,DM!$A$3:$E$61,2,FALSE),"")</f>
        <v/>
      </c>
      <c r="D28" t="e">
        <f ca="1">VLOOKUP(B28,DM!$A$3:$E$61,5,FALSE)</f>
        <v>#N/A</v>
      </c>
      <c r="F28" s="68">
        <f t="shared" ref="F28:G28" si="13">B25</f>
        <v>0</v>
      </c>
      <c r="G28" s="71" t="str">
        <f t="shared" ca="1" si="13"/>
        <v/>
      </c>
      <c r="H28" s="62"/>
      <c r="M28" s="16"/>
      <c r="N28" s="177" t="s">
        <v>16</v>
      </c>
      <c r="O28" s="170"/>
      <c r="P28" s="170"/>
    </row>
    <row r="29" spans="1:17" ht="13.8" hidden="1">
      <c r="A29" s="16">
        <v>6</v>
      </c>
      <c r="B29" s="86"/>
      <c r="C29" s="46" t="str">
        <f ca="1">IFERROR(VLOOKUP(B29,DM!$A$3:$E$61,2,FALSE),"")</f>
        <v/>
      </c>
      <c r="D29" t="e">
        <f ca="1">VLOOKUP(B29,DM!$A$3:$E$61,5,FALSE)</f>
        <v>#N/A</v>
      </c>
      <c r="F29" s="52">
        <f t="shared" ref="F29:G29" si="14">B30</f>
        <v>0</v>
      </c>
      <c r="G29" s="53" t="str">
        <f t="shared" ca="1" si="14"/>
        <v/>
      </c>
      <c r="H29" s="54"/>
      <c r="J29" s="55" t="str">
        <f>IF(H28=H29,"",IF(H28&lt;H29,F28,F29))</f>
        <v/>
      </c>
      <c r="K29" s="1" t="str">
        <f ca="1">IFERROR(VLOOKUP(J29,DM!$A$3:$E$61,2,FALSE),"")</f>
        <v/>
      </c>
      <c r="L29" s="54"/>
      <c r="M29" s="16"/>
      <c r="N29" s="55" t="str">
        <f>IF(L25=L26,"",IF(L25&gt;L26,J25,J26))</f>
        <v/>
      </c>
      <c r="O29" s="56" t="str">
        <f ca="1">IFERROR(VLOOKUP(N29,DM!$A$3:$E$61,2,FALSE),"")</f>
        <v/>
      </c>
      <c r="P29" s="54"/>
    </row>
    <row r="30" spans="1:17" ht="13.8" hidden="1">
      <c r="A30" s="16">
        <v>7</v>
      </c>
      <c r="B30" s="86"/>
      <c r="C30" s="46" t="str">
        <f ca="1">IFERROR(VLOOKUP(B30,DM!$A$3:$E$61,2,FALSE),"")</f>
        <v/>
      </c>
      <c r="D30" t="e">
        <f ca="1">VLOOKUP(B30,DM!$A$3:$E$61,5,FALSE)</f>
        <v>#N/A</v>
      </c>
      <c r="F30" s="61">
        <f t="shared" ref="F30:G30" si="15">B26</f>
        <v>0</v>
      </c>
      <c r="G30" s="16" t="str">
        <f t="shared" ca="1" si="15"/>
        <v/>
      </c>
      <c r="H30" s="62"/>
      <c r="J30" s="55" t="str">
        <f>IF(H30=H31,"",IF(H30&lt;H31,F30,F31))</f>
        <v/>
      </c>
      <c r="K30" s="1" t="str">
        <f ca="1">IFERROR(VLOOKUP(J30,DM!$A$3:$E$61,2,FALSE),"")</f>
        <v/>
      </c>
      <c r="L30" s="54"/>
      <c r="M30" s="16"/>
      <c r="N30" s="55" t="str">
        <f>IF(L29=L30,"",IF(L29&gt;L30,J29,J30))</f>
        <v/>
      </c>
      <c r="O30" s="56" t="str">
        <f ca="1">IFERROR(VLOOKUP(N30,DM!$A$3:$E$61,2,FALSE),"")</f>
        <v/>
      </c>
      <c r="P30" s="54"/>
    </row>
    <row r="31" spans="1:17" ht="13.8" hidden="1">
      <c r="A31" s="16">
        <v>8</v>
      </c>
      <c r="B31" s="86"/>
      <c r="C31" s="46" t="str">
        <f ca="1">IFERROR(VLOOKUP(B31,DM!$A$3:$E$61,2,FALSE),"")</f>
        <v/>
      </c>
      <c r="D31" t="e">
        <f ca="1">VLOOKUP(B31,DM!$A$3:$E$61,5,FALSE)</f>
        <v>#N/A</v>
      </c>
      <c r="F31" s="55">
        <f t="shared" ref="F31:G31" si="16">B29</f>
        <v>0</v>
      </c>
      <c r="G31" s="56" t="str">
        <f t="shared" ca="1" si="16"/>
        <v/>
      </c>
      <c r="H31" s="54"/>
    </row>
    <row r="32" spans="1:17" ht="13.2" hidden="1"/>
    <row r="33" spans="5:17" ht="13.2" hidden="1"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</row>
    <row r="34" spans="5:17" ht="13.2" hidden="1">
      <c r="E34" s="77"/>
      <c r="F34" s="77"/>
      <c r="G34" s="77"/>
      <c r="H34" s="77"/>
      <c r="I34" s="79"/>
      <c r="J34" s="80" t="str">
        <f>IF(P25=P26,"",IF(P25&lt;P26,N25,N26))</f>
        <v/>
      </c>
      <c r="K34" s="173" t="str">
        <f ca="1">IFERROR(VLOOKUP(J34,DM!$A$3:$E$61,2,FALSE),"")</f>
        <v/>
      </c>
      <c r="L34" s="167"/>
      <c r="M34" s="77"/>
      <c r="N34" s="77"/>
      <c r="O34" s="77"/>
      <c r="P34" s="77"/>
      <c r="Q34" s="77"/>
    </row>
    <row r="35" spans="5:17" ht="13.2" hidden="1">
      <c r="E35" s="77"/>
      <c r="F35" s="83" t="str">
        <f>IF(P25=P26,"",IF(P25&gt;P26,N25,N26))</f>
        <v/>
      </c>
      <c r="G35" s="178" t="str">
        <f ca="1">IFERROR(VLOOKUP(F35,DM!$A$3:$E$61,2,FALSE),"")</f>
        <v/>
      </c>
      <c r="H35" s="167"/>
      <c r="I35" s="77"/>
      <c r="J35" s="77"/>
      <c r="K35" s="77"/>
      <c r="L35" s="77"/>
      <c r="M35" s="84"/>
      <c r="N35" s="77"/>
      <c r="O35" s="77"/>
      <c r="P35" s="77"/>
      <c r="Q35" s="77"/>
    </row>
    <row r="36" spans="5:17" ht="13.2" hidden="1">
      <c r="E36" s="77"/>
      <c r="F36" s="84"/>
      <c r="G36" s="79"/>
      <c r="H36" s="79"/>
      <c r="I36" s="79"/>
      <c r="J36" s="174" t="s">
        <v>36</v>
      </c>
      <c r="K36" s="175"/>
      <c r="L36" s="175"/>
      <c r="M36" s="79"/>
      <c r="N36" s="88" t="str">
        <f>IF(P29=P30,"",IF(P29&lt;P30,N29,N29))</f>
        <v/>
      </c>
      <c r="O36" s="176" t="str">
        <f ca="1">IFERROR(VLOOKUP(N36,DM!$A$3:$E$61,2,FALSE),"")</f>
        <v/>
      </c>
      <c r="P36" s="167"/>
      <c r="Q36" s="77"/>
    </row>
    <row r="37" spans="5:17" ht="13.2" hidden="1"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</row>
  </sheetData>
  <mergeCells count="20">
    <mergeCell ref="N9:P9"/>
    <mergeCell ref="G16:H16"/>
    <mergeCell ref="A1:P1"/>
    <mergeCell ref="A3:D3"/>
    <mergeCell ref="F3:H3"/>
    <mergeCell ref="J3:L3"/>
    <mergeCell ref="N3:P3"/>
    <mergeCell ref="G35:H35"/>
    <mergeCell ref="J36:L36"/>
    <mergeCell ref="O36:P36"/>
    <mergeCell ref="A20:P20"/>
    <mergeCell ref="A22:D22"/>
    <mergeCell ref="F22:H22"/>
    <mergeCell ref="J22:L22"/>
    <mergeCell ref="N22:P22"/>
    <mergeCell ref="K15:L15"/>
    <mergeCell ref="J17:L17"/>
    <mergeCell ref="O17:P17"/>
    <mergeCell ref="N28:P28"/>
    <mergeCell ref="K34:L34"/>
  </mergeCells>
  <printOptions horizontalCentered="1"/>
  <pageMargins left="0.7" right="0.7" top="0.75" bottom="0.75" header="0" footer="0"/>
  <pageSetup paperSize="9" pageOrder="overThenDown" orientation="landscape" cellComments="atEnd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outlinePr summaryBelow="0" summaryRight="0"/>
  </sheetPr>
  <dimension ref="A1:J972"/>
  <sheetViews>
    <sheetView workbookViewId="0">
      <pane ySplit="2" topLeftCell="A3" activePane="bottomLeft" state="frozen"/>
      <selection pane="bottomLeft" activeCell="B4" sqref="B4"/>
    </sheetView>
  </sheetViews>
  <sheetFormatPr defaultColWidth="14.44140625" defaultRowHeight="15.75" customHeight="1"/>
  <cols>
    <col min="1" max="1" width="11.6640625" customWidth="1"/>
    <col min="2" max="2" width="19.109375" customWidth="1"/>
    <col min="3" max="3" width="29.5546875" customWidth="1"/>
    <col min="4" max="4" width="11.109375" customWidth="1"/>
    <col min="6" max="10" width="8.33203125" customWidth="1"/>
  </cols>
  <sheetData>
    <row r="1" spans="1:10" ht="13.2">
      <c r="A1" s="181" t="s">
        <v>34</v>
      </c>
      <c r="B1" s="167"/>
      <c r="C1" s="167"/>
      <c r="D1" s="167"/>
      <c r="E1" s="168"/>
      <c r="F1" s="182" t="s">
        <v>3</v>
      </c>
      <c r="G1" s="170"/>
      <c r="H1" s="170"/>
      <c r="I1" s="170"/>
      <c r="J1" s="170"/>
    </row>
    <row r="2" spans="1:10" ht="13.8">
      <c r="A2" s="3" t="s">
        <v>13</v>
      </c>
      <c r="B2" s="9" t="s">
        <v>6</v>
      </c>
      <c r="C2" s="3" t="s">
        <v>7</v>
      </c>
      <c r="D2" s="3" t="s">
        <v>8</v>
      </c>
      <c r="E2" s="3" t="s">
        <v>9</v>
      </c>
      <c r="F2" s="4">
        <v>1</v>
      </c>
      <c r="G2" s="4">
        <v>2</v>
      </c>
      <c r="H2" s="4">
        <v>3</v>
      </c>
      <c r="I2" s="4">
        <v>4</v>
      </c>
      <c r="J2" s="4">
        <v>5</v>
      </c>
    </row>
    <row r="3" spans="1:10" ht="28.5" customHeight="1">
      <c r="A3" s="57">
        <f ca="1">IFERROR(__xludf.DUMMYFUNCTION("query(Data,""select A,D,C,Y where AA = TRUE"")"),10)</f>
        <v>10</v>
      </c>
      <c r="B3" s="58" t="str">
        <f ca="1">IFERROR(__xludf.DUMMYFUNCTION("""COMPUTED_VALUE"""),"Gymbos1")</f>
        <v>Gymbos1</v>
      </c>
      <c r="C3" s="59" t="str">
        <f ca="1">IFERROR(__xludf.DUMMYFUNCTION("""COMPUTED_VALUE"""),"Gymnázium Boskovice")</f>
        <v>Gymnázium Boskovice</v>
      </c>
      <c r="D3" s="60" t="str">
        <f ca="1">IFERROR(__xludf.DUMMYFUNCTION("""COMPUTED_VALUE"""),"ZŠ")</f>
        <v>ZŠ</v>
      </c>
      <c r="E3" s="10">
        <f t="shared" ref="E3:E42" si="0">MIN(F3:J3)</f>
        <v>4.1666666666666664E-2</v>
      </c>
      <c r="F3" s="32"/>
      <c r="G3" s="12"/>
      <c r="H3" s="12"/>
      <c r="I3" s="27"/>
      <c r="J3" s="12">
        <v>4.1666666666666664E-2</v>
      </c>
    </row>
    <row r="4" spans="1:10" ht="26.4">
      <c r="A4" s="63">
        <f ca="1">IFERROR(__xludf.DUMMYFUNCTION("""COMPUTED_VALUE"""),19)</f>
        <v>19</v>
      </c>
      <c r="B4" s="64" t="str">
        <f ca="1">IFERROR(__xludf.DUMMYFUNCTION("""COMPUTED_VALUE"""),"ERA")</f>
        <v>ERA</v>
      </c>
      <c r="C4" s="65" t="str">
        <f ca="1">IFERROR(__xludf.DUMMYFUNCTION("""COMPUTED_VALUE"""),"Klub sportovní robotiky ""RoboMaker"" Bilohorodka (UA)")</f>
        <v>Klub sportovní robotiky "RoboMaker" Bilohorodka (UA)</v>
      </c>
      <c r="D4" s="18" t="str">
        <f ca="1">IFERROR(__xludf.DUMMYFUNCTION("""COMPUTED_VALUE"""),"ZŠ")</f>
        <v>ZŠ</v>
      </c>
      <c r="E4" s="10">
        <f t="shared" si="0"/>
        <v>2.8622685185185185E-4</v>
      </c>
      <c r="F4" s="12">
        <v>3.0752314814814813E-4</v>
      </c>
      <c r="G4" s="12">
        <v>2.8726851851851852E-4</v>
      </c>
      <c r="H4" s="12">
        <v>2.8622685185185185E-4</v>
      </c>
      <c r="I4" s="12">
        <v>2.9490740740740741E-4</v>
      </c>
      <c r="J4" s="12">
        <v>4.1666666666666664E-2</v>
      </c>
    </row>
    <row r="5" spans="1:10" ht="26.4">
      <c r="A5" s="66">
        <f ca="1">IFERROR(__xludf.DUMMYFUNCTION("""COMPUTED_VALUE"""),20)</f>
        <v>20</v>
      </c>
      <c r="B5" s="64" t="str">
        <f ca="1">IFERROR(__xludf.DUMMYFUNCTION("""COMPUTED_VALUE"""),"RoboMaker.com.UA")</f>
        <v>RoboMaker.com.UA</v>
      </c>
      <c r="C5" s="65" t="str">
        <f ca="1">IFERROR(__xludf.DUMMYFUNCTION("""COMPUTED_VALUE"""),"Klub sportovní robotiky ""RoboMaker"" Kyjev (UA)")</f>
        <v>Klub sportovní robotiky "RoboMaker" Kyjev (UA)</v>
      </c>
      <c r="D5" s="18" t="str">
        <f ca="1">IFERROR(__xludf.DUMMYFUNCTION("""COMPUTED_VALUE"""),"ZŠ")</f>
        <v>ZŠ</v>
      </c>
      <c r="E5" s="10">
        <f t="shared" si="0"/>
        <v>4.1666666666666664E-2</v>
      </c>
      <c r="F5" s="67"/>
      <c r="G5" s="12"/>
      <c r="H5" s="12"/>
      <c r="I5" s="36"/>
      <c r="J5" s="12">
        <v>4.1666666666666664E-2</v>
      </c>
    </row>
    <row r="6" spans="1:10" ht="26.4">
      <c r="A6" s="63">
        <f ca="1">IFERROR(__xludf.DUMMYFUNCTION("""COMPUTED_VALUE"""),21)</f>
        <v>21</v>
      </c>
      <c r="B6" s="64" t="str">
        <f ca="1">IFERROR(__xludf.DUMMYFUNCTION("""COMPUTED_VALUE"""),"Crystal Cat")</f>
        <v>Crystal Cat</v>
      </c>
      <c r="C6" s="65" t="str">
        <f ca="1">IFERROR(__xludf.DUMMYFUNCTION("""COMPUTED_VALUE"""),"Klub sportovní robotiky ""RoboMaker"" Kyjev (UA)")</f>
        <v>Klub sportovní robotiky "RoboMaker" Kyjev (UA)</v>
      </c>
      <c r="D6" s="18" t="str">
        <f ca="1">IFERROR(__xludf.DUMMYFUNCTION("""COMPUTED_VALUE"""),"ZŠ")</f>
        <v>ZŠ</v>
      </c>
      <c r="E6" s="10">
        <f t="shared" si="0"/>
        <v>1.1565972222222223E-3</v>
      </c>
      <c r="F6" s="12">
        <v>1.1565972222222223E-3</v>
      </c>
      <c r="G6" s="12"/>
      <c r="H6" s="12"/>
      <c r="I6" s="27"/>
      <c r="J6" s="12">
        <v>4.1666666666666664E-2</v>
      </c>
    </row>
    <row r="7" spans="1:10" ht="26.4">
      <c r="A7" s="63">
        <f ca="1">IFERROR(__xludf.DUMMYFUNCTION("""COMPUTED_VALUE"""),23)</f>
        <v>23</v>
      </c>
      <c r="B7" s="64" t="str">
        <f ca="1">IFERROR(__xludf.DUMMYFUNCTION("""COMPUTED_VALUE"""),"KiborgsUA")</f>
        <v>KiborgsUA</v>
      </c>
      <c r="C7" s="65" t="str">
        <f ca="1">IFERROR(__xludf.DUMMYFUNCTION("""COMPUTED_VALUE"""),"Lucenkovo Čerkaské gymnázium №9 (UA)")</f>
        <v>Lucenkovo Čerkaské gymnázium №9 (UA)</v>
      </c>
      <c r="D7" s="18" t="str">
        <f ca="1">IFERROR(__xludf.DUMMYFUNCTION("""COMPUTED_VALUE"""),"ZŠ")</f>
        <v>ZŠ</v>
      </c>
      <c r="E7" s="10">
        <f t="shared" si="0"/>
        <v>4.1666666666666664E-2</v>
      </c>
      <c r="F7" s="32"/>
      <c r="G7" s="12"/>
      <c r="H7" s="12"/>
      <c r="I7" s="27"/>
      <c r="J7" s="12">
        <v>4.1666666666666664E-2</v>
      </c>
    </row>
    <row r="8" spans="1:10" ht="26.4">
      <c r="A8" s="63">
        <f ca="1">IFERROR(__xludf.DUMMYFUNCTION("""COMPUTED_VALUE"""),24)</f>
        <v>24</v>
      </c>
      <c r="B8" s="69" t="str">
        <f ca="1">IFERROR(__xludf.DUMMYFUNCTION("""COMPUTED_VALUE"""),"KiborgsUA_JR")</f>
        <v>KiborgsUA_JR</v>
      </c>
      <c r="C8" s="65" t="str">
        <f ca="1">IFERROR(__xludf.DUMMYFUNCTION("""COMPUTED_VALUE"""),"Lucenkovo Čerkaské gymnázium №9 (UA)")</f>
        <v>Lucenkovo Čerkaské gymnázium №9 (UA)</v>
      </c>
      <c r="D8" s="18" t="str">
        <f ca="1">IFERROR(__xludf.DUMMYFUNCTION("""COMPUTED_VALUE"""),"ZŠ")</f>
        <v>ZŠ</v>
      </c>
      <c r="E8" s="10">
        <f t="shared" si="0"/>
        <v>4.1666666666666664E-2</v>
      </c>
      <c r="F8" s="32"/>
      <c r="G8" s="12"/>
      <c r="H8" s="12"/>
      <c r="I8" s="27"/>
      <c r="J8" s="12">
        <v>4.1666666666666664E-2</v>
      </c>
    </row>
    <row r="9" spans="1:10" ht="13.8">
      <c r="A9" s="63">
        <f ca="1">IFERROR(__xludf.DUMMYFUNCTION("""COMPUTED_VALUE"""),25)</f>
        <v>25</v>
      </c>
      <c r="B9" s="64" t="str">
        <f ca="1">IFERROR(__xludf.DUMMYFUNCTION("""COMPUTED_VALUE"""),"Junioři z Robotárny")</f>
        <v>Junioři z Robotárny</v>
      </c>
      <c r="C9" s="65" t="str">
        <f ca="1">IFERROR(__xludf.DUMMYFUNCTION("""COMPUTED_VALUE"""),"Robotárna DDM Helceletova Brno")</f>
        <v>Robotárna DDM Helceletova Brno</v>
      </c>
      <c r="D9" s="18" t="str">
        <f ca="1">IFERROR(__xludf.DUMMYFUNCTION("""COMPUTED_VALUE"""),"SŠ")</f>
        <v>SŠ</v>
      </c>
      <c r="E9" s="10">
        <f t="shared" si="0"/>
        <v>4.1666666666666664E-2</v>
      </c>
      <c r="F9" s="32"/>
      <c r="G9" s="12"/>
      <c r="H9" s="12"/>
      <c r="I9" s="27"/>
      <c r="J9" s="12">
        <v>4.1666666666666664E-2</v>
      </c>
    </row>
    <row r="10" spans="1:10" ht="13.8">
      <c r="A10" s="63">
        <f ca="1">IFERROR(__xludf.DUMMYFUNCTION("""COMPUTED_VALUE"""),34)</f>
        <v>34</v>
      </c>
      <c r="B10" s="64" t="str">
        <f ca="1">IFERROR(__xludf.DUMMYFUNCTION("""COMPUTED_VALUE"""),"GLIGOR")</f>
        <v>GLIGOR</v>
      </c>
      <c r="C10" s="70" t="str">
        <f ca="1">IFERROR(__xludf.DUMMYFUNCTION("""COMPUTED_VALUE"""),"STEM-school Inventor Kyjev (UA)")</f>
        <v>STEM-school Inventor Kyjev (UA)</v>
      </c>
      <c r="D10" s="18" t="str">
        <f ca="1">IFERROR(__xludf.DUMMYFUNCTION("""COMPUTED_VALUE"""),"ZŠ")</f>
        <v>ZŠ</v>
      </c>
      <c r="E10" s="10">
        <f t="shared" si="0"/>
        <v>1.2280092592592592E-3</v>
      </c>
      <c r="F10" s="12">
        <v>1.2280092592592592E-3</v>
      </c>
      <c r="G10" s="12"/>
      <c r="H10" s="12"/>
      <c r="I10" s="27"/>
      <c r="J10" s="12">
        <v>4.1666666666666664E-2</v>
      </c>
    </row>
    <row r="11" spans="1:10" ht="27.6">
      <c r="A11" s="63">
        <f ca="1">IFERROR(__xludf.DUMMYFUNCTION("""COMPUTED_VALUE"""),35)</f>
        <v>35</v>
      </c>
      <c r="B11" s="64" t="str">
        <f ca="1">IFERROR(__xludf.DUMMYFUNCTION("""COMPUTED_VALUE"""),"Eccentricity")</f>
        <v>Eccentricity</v>
      </c>
      <c r="C11" s="65" t="str">
        <f ca="1">IFERROR(__xludf.DUMMYFUNCTION("""COMPUTED_VALUE"""),"Škola č.35 Iževsk (RU)")</f>
        <v>Škola č.35 Iževsk (RU)</v>
      </c>
      <c r="D11" s="18" t="str">
        <f ca="1">IFERROR(__xludf.DUMMYFUNCTION("""COMPUTED_VALUE"""),"SŠ (15-19 years)")</f>
        <v>SŠ (15-19 years)</v>
      </c>
      <c r="E11" s="10">
        <f t="shared" si="0"/>
        <v>4.1666666666666664E-2</v>
      </c>
      <c r="F11" s="32"/>
      <c r="G11" s="12"/>
      <c r="H11" s="12"/>
      <c r="I11" s="27"/>
      <c r="J11" s="12">
        <v>4.1666666666666664E-2</v>
      </c>
    </row>
    <row r="12" spans="1:10" ht="13.8">
      <c r="A12" s="63">
        <f ca="1">IFERROR(__xludf.DUMMYFUNCTION("""COMPUTED_VALUE"""),39)</f>
        <v>39</v>
      </c>
      <c r="B12" s="64" t="str">
        <f ca="1">IFERROR(__xludf.DUMMYFUNCTION("""COMPUTED_VALUE"""),"AZYG")</f>
        <v>AZYG</v>
      </c>
      <c r="C12" s="70" t="str">
        <f ca="1">IFERROR(__xludf.DUMMYFUNCTION("""COMPUTED_VALUE"""),"Gymnázium Zábřeh")</f>
        <v>Gymnázium Zábřeh</v>
      </c>
      <c r="D12" s="18" t="str">
        <f ca="1">IFERROR(__xludf.DUMMYFUNCTION("""COMPUTED_VALUE"""),"ZŠ")</f>
        <v>ZŠ</v>
      </c>
      <c r="E12" s="10">
        <f t="shared" si="0"/>
        <v>4.1666666666666664E-2</v>
      </c>
      <c r="F12" s="32"/>
      <c r="G12" s="12"/>
      <c r="H12" s="12"/>
      <c r="I12" s="27"/>
      <c r="J12" s="12">
        <v>4.1666666666666664E-2</v>
      </c>
    </row>
    <row r="13" spans="1:10" ht="26.4">
      <c r="A13" s="63">
        <f ca="1">IFERROR(__xludf.DUMMYFUNCTION("""COMPUTED_VALUE"""),40)</f>
        <v>40</v>
      </c>
      <c r="B13" s="64" t="str">
        <f ca="1">IFERROR(__xludf.DUMMYFUNCTION("""COMPUTED_VALUE"""),"Ještě ráno to fungovalo")</f>
        <v>Ještě ráno to fungovalo</v>
      </c>
      <c r="C13" s="65" t="str">
        <f ca="1">IFERROR(__xludf.DUMMYFUNCTION("""COMPUTED_VALUE"""),"Gymnázium Zábřeh")</f>
        <v>Gymnázium Zábřeh</v>
      </c>
      <c r="D13" s="18" t="str">
        <f ca="1">IFERROR(__xludf.DUMMYFUNCTION("""COMPUTED_VALUE"""),"ZŠ")</f>
        <v>ZŠ</v>
      </c>
      <c r="E13" s="10">
        <f t="shared" si="0"/>
        <v>4.1666666666666664E-2</v>
      </c>
      <c r="F13" s="32"/>
      <c r="G13" s="12"/>
      <c r="H13" s="12"/>
      <c r="I13" s="27"/>
      <c r="J13" s="12">
        <v>4.1666666666666664E-2</v>
      </c>
    </row>
    <row r="14" spans="1:10" ht="13.8">
      <c r="A14" s="63">
        <f ca="1">IFERROR(__xludf.DUMMYFUNCTION("""COMPUTED_VALUE"""),52)</f>
        <v>52</v>
      </c>
      <c r="B14" s="64" t="str">
        <f ca="1">IFERROR(__xludf.DUMMYFUNCTION("""COMPUTED_VALUE"""),"Sněženky")</f>
        <v>Sněženky</v>
      </c>
      <c r="C14" s="65" t="str">
        <f ca="1">IFERROR(__xludf.DUMMYFUNCTION("""COMPUTED_VALUE"""),"ZŠ Vančurova, Hodonín")</f>
        <v>ZŠ Vančurova, Hodonín</v>
      </c>
      <c r="D14" s="18" t="str">
        <f ca="1">IFERROR(__xludf.DUMMYFUNCTION("""COMPUTED_VALUE"""),"ZŠ")</f>
        <v>ZŠ</v>
      </c>
      <c r="E14" s="10">
        <f t="shared" si="0"/>
        <v>4.1666666666666664E-2</v>
      </c>
      <c r="F14" s="12"/>
      <c r="G14" s="12"/>
      <c r="H14" s="12"/>
      <c r="I14" s="27"/>
      <c r="J14" s="12">
        <v>4.1666666666666664E-2</v>
      </c>
    </row>
    <row r="15" spans="1:10" ht="13.8">
      <c r="A15" s="63">
        <f ca="1">IFERROR(__xludf.DUMMYFUNCTION("""COMPUTED_VALUE"""),53)</f>
        <v>53</v>
      </c>
      <c r="B15" s="69" t="str">
        <f ca="1">IFERROR(__xludf.DUMMYFUNCTION("""COMPUTED_VALUE"""),"J.K.J.")</f>
        <v>J.K.J.</v>
      </c>
      <c r="C15" s="65" t="str">
        <f ca="1">IFERROR(__xludf.DUMMYFUNCTION("""COMPUTED_VALUE"""),"ZŠ Vančurova, Hodonín")</f>
        <v>ZŠ Vančurova, Hodonín</v>
      </c>
      <c r="D15" s="18" t="str">
        <f ca="1">IFERROR(__xludf.DUMMYFUNCTION("""COMPUTED_VALUE"""),"ZŠ")</f>
        <v>ZŠ</v>
      </c>
      <c r="E15" s="10">
        <f t="shared" si="0"/>
        <v>4.1666666666666664E-2</v>
      </c>
      <c r="F15" s="12"/>
      <c r="G15" s="12"/>
      <c r="H15" s="12"/>
      <c r="I15" s="27"/>
      <c r="J15" s="12">
        <v>4.1666666666666664E-2</v>
      </c>
    </row>
    <row r="16" spans="1:10" ht="26.4">
      <c r="A16" s="63">
        <f ca="1">IFERROR(__xludf.DUMMYFUNCTION("""COMPUTED_VALUE"""),54)</f>
        <v>54</v>
      </c>
      <c r="B16" s="64" t="str">
        <f ca="1">IFERROR(__xludf.DUMMYFUNCTION("""COMPUTED_VALUE"""),"Wonder women")</f>
        <v>Wonder women</v>
      </c>
      <c r="C16" s="65" t="str">
        <f ca="1">IFERROR(__xludf.DUMMYFUNCTION("""COMPUTED_VALUE"""),"SŠ průmyslová a umělecká Hodonín")</f>
        <v>SŠ průmyslová a umělecká Hodonín</v>
      </c>
      <c r="D16" s="18" t="str">
        <f ca="1">IFERROR(__xludf.DUMMYFUNCTION("""COMPUTED_VALUE"""),"SŠ")</f>
        <v>SŠ</v>
      </c>
      <c r="E16" s="10">
        <f t="shared" si="0"/>
        <v>4.1666666666666664E-2</v>
      </c>
      <c r="F16" s="12"/>
      <c r="G16" s="12"/>
      <c r="H16" s="12"/>
      <c r="I16" s="27"/>
      <c r="J16" s="12">
        <v>4.1666666666666664E-2</v>
      </c>
    </row>
    <row r="17" spans="1:10" ht="26.4">
      <c r="A17" s="63">
        <f ca="1">IFERROR(__xludf.DUMMYFUNCTION("""COMPUTED_VALUE"""),57)</f>
        <v>57</v>
      </c>
      <c r="B17" s="64" t="str">
        <f ca="1">IFERROR(__xludf.DUMMYFUNCTION("""COMPUTED_VALUE"""),"Nevim skládat robota")</f>
        <v>Nevim skládat robota</v>
      </c>
      <c r="C17" s="70" t="str">
        <f ca="1">IFERROR(__xludf.DUMMYFUNCTION("""COMPUTED_VALUE"""),"Gymnázium a obchodní akademie, Hodonín")</f>
        <v>Gymnázium a obchodní akademie, Hodonín</v>
      </c>
      <c r="D17" s="18" t="str">
        <f ca="1">IFERROR(__xludf.DUMMYFUNCTION("""COMPUTED_VALUE"""),"ZŠ")</f>
        <v>ZŠ</v>
      </c>
      <c r="E17" s="10">
        <f t="shared" si="0"/>
        <v>7.3194444444444446E-4</v>
      </c>
      <c r="F17" s="12">
        <v>7.3194444444444446E-4</v>
      </c>
      <c r="G17" s="12"/>
      <c r="H17" s="12"/>
      <c r="I17" s="27"/>
      <c r="J17" s="12">
        <v>4.1666666666666664E-2</v>
      </c>
    </row>
    <row r="18" spans="1:10" ht="13.8">
      <c r="A18" s="66">
        <f ca="1">IFERROR(__xludf.DUMMYFUNCTION("""COMPUTED_VALUE"""),58)</f>
        <v>58</v>
      </c>
      <c r="B18" s="64" t="str">
        <f ca="1">IFERROR(__xludf.DUMMYFUNCTION("""COMPUTED_VALUE"""),"Krystofnutt")</f>
        <v>Krystofnutt</v>
      </c>
      <c r="C18" s="65" t="str">
        <f ca="1">IFERROR(__xludf.DUMMYFUNCTION("""COMPUTED_VALUE"""),"Purkyňovo gymnázium Strážnice")</f>
        <v>Purkyňovo gymnázium Strážnice</v>
      </c>
      <c r="D18" s="18" t="str">
        <f ca="1">IFERROR(__xludf.DUMMYFUNCTION("""COMPUTED_VALUE"""),"ZŠ")</f>
        <v>ZŠ</v>
      </c>
      <c r="E18" s="10">
        <f t="shared" si="0"/>
        <v>4.1666666666666664E-2</v>
      </c>
      <c r="F18" s="12"/>
      <c r="G18" s="12"/>
      <c r="H18" s="12"/>
      <c r="I18" s="36"/>
      <c r="J18" s="12">
        <v>4.1666666666666664E-2</v>
      </c>
    </row>
    <row r="19" spans="1:10" ht="13.8">
      <c r="A19" s="66">
        <f ca="1">IFERROR(__xludf.DUMMYFUNCTION("""COMPUTED_VALUE"""),67)</f>
        <v>67</v>
      </c>
      <c r="B19" s="64" t="str">
        <f ca="1">IFERROR(__xludf.DUMMYFUNCTION("""COMPUTED_VALUE"""),"ZŠ Otevřeno - Čtyřboj")</f>
        <v>ZŠ Otevřeno - Čtyřboj</v>
      </c>
      <c r="C19" s="65" t="str">
        <f ca="1">IFERROR(__xludf.DUMMYFUNCTION("""COMPUTED_VALUE"""),"ZŠ Otevřeno Benátky nad Jizerou")</f>
        <v>ZŠ Otevřeno Benátky nad Jizerou</v>
      </c>
      <c r="D19" s="18" t="str">
        <f ca="1">IFERROR(__xludf.DUMMYFUNCTION("""COMPUTED_VALUE"""),"ZŠ")</f>
        <v>ZŠ</v>
      </c>
      <c r="E19" s="10">
        <f t="shared" si="0"/>
        <v>4.1666666666666664E-2</v>
      </c>
      <c r="F19" s="12"/>
      <c r="G19" s="12"/>
      <c r="H19" s="12"/>
      <c r="I19" s="36"/>
      <c r="J19" s="12">
        <v>4.1666666666666664E-2</v>
      </c>
    </row>
    <row r="20" spans="1:10" ht="13.8">
      <c r="A20" s="66">
        <f ca="1">IFERROR(__xludf.DUMMYFUNCTION("""COMPUTED_VALUE"""),71)</f>
        <v>71</v>
      </c>
      <c r="B20" s="64" t="str">
        <f ca="1">IFERROR(__xludf.DUMMYFUNCTION("""COMPUTED_VALUE"""),"Programmers")</f>
        <v>Programmers</v>
      </c>
      <c r="C20" s="65" t="str">
        <f ca="1">IFERROR(__xludf.DUMMYFUNCTION("""COMPUTED_VALUE"""),"ZŠ Nové Zámky, Nábrežná 95,")</f>
        <v>ZŠ Nové Zámky, Nábrežná 95,</v>
      </c>
      <c r="D20" s="18" t="str">
        <f ca="1">IFERROR(__xludf.DUMMYFUNCTION("""COMPUTED_VALUE"""),"ZŠ")</f>
        <v>ZŠ</v>
      </c>
      <c r="E20" s="10">
        <f t="shared" si="0"/>
        <v>2.0601851851851852E-4</v>
      </c>
      <c r="F20" s="12">
        <v>2.4560185185185183E-4</v>
      </c>
      <c r="G20" s="12">
        <v>2.3773148148148148E-4</v>
      </c>
      <c r="H20" s="12">
        <v>2.0601851851851852E-4</v>
      </c>
      <c r="I20" s="25">
        <v>2.0891203703703705E-4</v>
      </c>
      <c r="J20" s="12">
        <v>4.1666666666666664E-2</v>
      </c>
    </row>
    <row r="21" spans="1:10" ht="13.8">
      <c r="A21" s="66">
        <f ca="1">IFERROR(__xludf.DUMMYFUNCTION("""COMPUTED_VALUE"""),76)</f>
        <v>76</v>
      </c>
      <c r="B21" s="64" t="str">
        <f ca="1">IFERROR(__xludf.DUMMYFUNCTION("""COMPUTED_VALUE"""),"Tým 4")</f>
        <v>Tým 4</v>
      </c>
      <c r="C21" s="65" t="str">
        <f ca="1">IFERROR(__xludf.DUMMYFUNCTION("""COMPUTED_VALUE"""),"Jiráskovo gymnázium Náchod")</f>
        <v>Jiráskovo gymnázium Náchod</v>
      </c>
      <c r="D21" s="18" t="str">
        <f ca="1">IFERROR(__xludf.DUMMYFUNCTION("""COMPUTED_VALUE"""),"ZŠ")</f>
        <v>ZŠ</v>
      </c>
      <c r="E21" s="10">
        <f t="shared" si="0"/>
        <v>4.1666666666666664E-2</v>
      </c>
      <c r="F21" s="12"/>
      <c r="G21" s="12"/>
      <c r="H21" s="12"/>
      <c r="I21" s="36"/>
      <c r="J21" s="12">
        <v>4.1666666666666664E-2</v>
      </c>
    </row>
    <row r="22" spans="1:10" ht="13.8">
      <c r="A22" s="66">
        <f ca="1">IFERROR(__xludf.DUMMYFUNCTION("""COMPUTED_VALUE"""),77)</f>
        <v>77</v>
      </c>
      <c r="B22" s="64" t="str">
        <f ca="1">IFERROR(__xludf.DUMMYFUNCTION("""COMPUTED_VALUE"""),"Tým 5")</f>
        <v>Tým 5</v>
      </c>
      <c r="C22" s="65" t="str">
        <f ca="1">IFERROR(__xludf.DUMMYFUNCTION("""COMPUTED_VALUE"""),"Jiráskovo gymnázium Náchod")</f>
        <v>Jiráskovo gymnázium Náchod</v>
      </c>
      <c r="D22" s="18" t="str">
        <f ca="1">IFERROR(__xludf.DUMMYFUNCTION("""COMPUTED_VALUE"""),"SŠ")</f>
        <v>SŠ</v>
      </c>
      <c r="E22" s="10">
        <f t="shared" si="0"/>
        <v>4.685185185185185E-4</v>
      </c>
      <c r="F22" s="12">
        <v>4.685185185185185E-4</v>
      </c>
      <c r="G22" s="12"/>
      <c r="H22" s="12"/>
      <c r="I22" s="36"/>
      <c r="J22" s="12">
        <v>4.1666666666666664E-2</v>
      </c>
    </row>
    <row r="23" spans="1:10" ht="26.4">
      <c r="A23" s="66">
        <f ca="1">IFERROR(__xludf.DUMMYFUNCTION("""COMPUTED_VALUE"""),79)</f>
        <v>79</v>
      </c>
      <c r="B23" s="64" t="str">
        <f ca="1">IFERROR(__xludf.DUMMYFUNCTION("""COMPUTED_VALUE"""),"Kiddům Team")</f>
        <v>Kiddům Team</v>
      </c>
      <c r="C23" s="65" t="str">
        <f ca="1">IFERROR(__xludf.DUMMYFUNCTION("""COMPUTED_VALUE"""),"Kiddům - Centrum mladých objevitelů Praha")</f>
        <v>Kiddům - Centrum mladých objevitelů Praha</v>
      </c>
      <c r="D23" s="18" t="str">
        <f ca="1">IFERROR(__xludf.DUMMYFUNCTION("""COMPUTED_VALUE"""),"ZŠ")</f>
        <v>ZŠ</v>
      </c>
      <c r="E23" s="10">
        <f t="shared" si="0"/>
        <v>4.1666666666666664E-2</v>
      </c>
      <c r="F23" s="72"/>
      <c r="G23" s="12"/>
      <c r="H23" s="12"/>
      <c r="I23" s="36"/>
      <c r="J23" s="12">
        <v>4.1666666666666664E-2</v>
      </c>
    </row>
    <row r="24" spans="1:10" ht="13.8">
      <c r="A24" s="66">
        <f ca="1">IFERROR(__xludf.DUMMYFUNCTION("""COMPUTED_VALUE"""),80)</f>
        <v>80</v>
      </c>
      <c r="B24" s="64" t="str">
        <f ca="1">IFERROR(__xludf.DUMMYFUNCTION("""COMPUTED_VALUE"""),"WZM Team")</f>
        <v>WZM Team</v>
      </c>
      <c r="C24" s="65" t="str">
        <f ca="1">IFERROR(__xludf.DUMMYFUNCTION("""COMPUTED_VALUE"""),"Gymnázium Zlín - Lesní čtvrť")</f>
        <v>Gymnázium Zlín - Lesní čtvrť</v>
      </c>
      <c r="D24" s="18" t="str">
        <f ca="1">IFERROR(__xludf.DUMMYFUNCTION("""COMPUTED_VALUE"""),"SŠ")</f>
        <v>SŠ</v>
      </c>
      <c r="E24" s="10">
        <f t="shared" si="0"/>
        <v>4.1666666666666664E-2</v>
      </c>
      <c r="F24" s="72"/>
      <c r="G24" s="12"/>
      <c r="H24" s="12"/>
      <c r="I24" s="36"/>
      <c r="J24" s="12">
        <v>4.1666666666666664E-2</v>
      </c>
    </row>
    <row r="25" spans="1:10" ht="13.8">
      <c r="A25" s="66">
        <f ca="1">IFERROR(__xludf.DUMMYFUNCTION("""COMPUTED_VALUE"""),84)</f>
        <v>84</v>
      </c>
      <c r="B25" s="64" t="str">
        <f ca="1">IFERROR(__xludf.DUMMYFUNCTION("""COMPUTED_VALUE"""),"GZ - Team")</f>
        <v>GZ - Team</v>
      </c>
      <c r="C25" s="65" t="str">
        <f ca="1">IFERROR(__xludf.DUMMYFUNCTION("""COMPUTED_VALUE"""),"Gymnázium Zlín - Lesní čtvrť")</f>
        <v>Gymnázium Zlín - Lesní čtvrť</v>
      </c>
      <c r="D25" s="18" t="str">
        <f ca="1">IFERROR(__xludf.DUMMYFUNCTION("""COMPUTED_VALUE"""),"SŠ")</f>
        <v>SŠ</v>
      </c>
      <c r="E25" s="10">
        <f t="shared" si="0"/>
        <v>4.1666666666666664E-2</v>
      </c>
      <c r="F25" s="72"/>
      <c r="G25" s="12"/>
      <c r="H25" s="12"/>
      <c r="I25" s="36"/>
      <c r="J25" s="12">
        <v>4.1666666666666664E-2</v>
      </c>
    </row>
    <row r="26" spans="1:10" ht="13.8">
      <c r="A26" s="66">
        <f ca="1">IFERROR(__xludf.DUMMYFUNCTION("""COMPUTED_VALUE"""),89)</f>
        <v>89</v>
      </c>
      <c r="B26" s="64" t="str">
        <f ca="1">IFERROR(__xludf.DUMMYFUNCTION("""COMPUTED_VALUE"""),"Hlucháci")</f>
        <v>Hlucháci</v>
      </c>
      <c r="C26" s="65" t="str">
        <f ca="1">IFERROR(__xludf.DUMMYFUNCTION("""COMPUTED_VALUE"""),"ZŠ Šumperk, 8. května")</f>
        <v>ZŠ Šumperk, 8. května</v>
      </c>
      <c r="D26" s="18" t="str">
        <f ca="1">IFERROR(__xludf.DUMMYFUNCTION("""COMPUTED_VALUE"""),"ZŠ")</f>
        <v>ZŠ</v>
      </c>
      <c r="E26" s="10">
        <f t="shared" si="0"/>
        <v>4.1666666666666664E-2</v>
      </c>
      <c r="F26" s="72"/>
      <c r="G26" s="12"/>
      <c r="H26" s="12"/>
      <c r="I26" s="36"/>
      <c r="J26" s="12">
        <v>4.1666666666666664E-2</v>
      </c>
    </row>
    <row r="27" spans="1:10" ht="26.4">
      <c r="A27" s="66">
        <f ca="1">IFERROR(__xludf.DUMMYFUNCTION("""COMPUTED_VALUE"""),95)</f>
        <v>95</v>
      </c>
      <c r="B27" s="64" t="str">
        <f ca="1">IFERROR(__xludf.DUMMYFUNCTION("""COMPUTED_VALUE"""),"Korytnačka Abby")</f>
        <v>Korytnačka Abby</v>
      </c>
      <c r="C27" s="65" t="str">
        <f ca="1">IFERROR(__xludf.DUMMYFUNCTION("""COMPUTED_VALUE"""),"The Benders - Amavet klub robotiky 958")</f>
        <v>The Benders - Amavet klub robotiky 958</v>
      </c>
      <c r="D27" s="18" t="str">
        <f ca="1">IFERROR(__xludf.DUMMYFUNCTION("""COMPUTED_VALUE"""),"ZŠ")</f>
        <v>ZŠ</v>
      </c>
      <c r="E27" s="10">
        <f t="shared" si="0"/>
        <v>4.1666666666666664E-2</v>
      </c>
      <c r="F27" s="72"/>
      <c r="G27" s="12"/>
      <c r="H27" s="12"/>
      <c r="I27" s="36"/>
      <c r="J27" s="12">
        <v>4.1666666666666664E-2</v>
      </c>
    </row>
    <row r="28" spans="1:10" ht="13.8">
      <c r="A28" s="66">
        <f ca="1">IFERROR(__xludf.DUMMYFUNCTION("""COMPUTED_VALUE"""),99)</f>
        <v>99</v>
      </c>
      <c r="B28" s="64" t="str">
        <f ca="1">IFERROR(__xludf.DUMMYFUNCTION("""COMPUTED_VALUE"""),"PORG 3")</f>
        <v>PORG 3</v>
      </c>
      <c r="C28" s="65" t="str">
        <f ca="1">IFERROR(__xludf.DUMMYFUNCTION("""COMPUTED_VALUE"""),"Gymnázium PORG Praha")</f>
        <v>Gymnázium PORG Praha</v>
      </c>
      <c r="D28" s="18" t="str">
        <f ca="1">IFERROR(__xludf.DUMMYFUNCTION("""COMPUTED_VALUE"""),"ZŠ")</f>
        <v>ZŠ</v>
      </c>
      <c r="E28" s="10">
        <f t="shared" si="0"/>
        <v>4.1666666666666664E-2</v>
      </c>
      <c r="F28" s="72"/>
      <c r="G28" s="12"/>
      <c r="H28" s="12"/>
      <c r="I28" s="36"/>
      <c r="J28" s="12">
        <v>4.1666666666666664E-2</v>
      </c>
    </row>
    <row r="29" spans="1:10" ht="26.4">
      <c r="A29" s="66">
        <f ca="1">IFERROR(__xludf.DUMMYFUNCTION("""COMPUTED_VALUE"""),101)</f>
        <v>101</v>
      </c>
      <c r="B29" s="64" t="str">
        <f ca="1">IFERROR(__xludf.DUMMYFUNCTION("""COMPUTED_VALUE"""),"Skabetka030")</f>
        <v>Skabetka030</v>
      </c>
      <c r="C29" s="65" t="str">
        <f ca="1">IFERROR(__xludf.DUMMYFUNCTION("""COMPUTED_VALUE"""),"Gymnázium, Strakonice, Máchova 174")</f>
        <v>Gymnázium, Strakonice, Máchova 174</v>
      </c>
      <c r="D29" s="18" t="str">
        <f ca="1">IFERROR(__xludf.DUMMYFUNCTION("""COMPUTED_VALUE"""),"ZŠ")</f>
        <v>ZŠ</v>
      </c>
      <c r="E29" s="10">
        <f t="shared" si="0"/>
        <v>4.1666666666666664E-2</v>
      </c>
      <c r="F29" s="72"/>
      <c r="G29" s="12"/>
      <c r="H29" s="12"/>
      <c r="I29" s="36"/>
      <c r="J29" s="12">
        <v>4.1666666666666664E-2</v>
      </c>
    </row>
    <row r="30" spans="1:10" ht="13.2">
      <c r="A30" s="73">
        <f ca="1">IFERROR(__xludf.DUMMYFUNCTION("""COMPUTED_VALUE"""),102)</f>
        <v>102</v>
      </c>
      <c r="B30" s="74" t="str">
        <f ca="1">IFERROR(__xludf.DUMMYFUNCTION("""COMPUTED_VALUE"""),"Gymstr 4.O")</f>
        <v>Gymstr 4.O</v>
      </c>
      <c r="C30" s="75" t="str">
        <f ca="1">IFERROR(__xludf.DUMMYFUNCTION("""COMPUTED_VALUE"""),"Gymnázium, Strakonice, Máchova 174")</f>
        <v>Gymnázium, Strakonice, Máchova 174</v>
      </c>
      <c r="D30" s="76" t="str">
        <f ca="1">IFERROR(__xludf.DUMMYFUNCTION("""COMPUTED_VALUE"""),"ZŠ")</f>
        <v>ZŠ</v>
      </c>
      <c r="E30" s="10">
        <f t="shared" si="0"/>
        <v>8.3333333333333329E-2</v>
      </c>
      <c r="F30" s="72"/>
      <c r="G30" s="12"/>
      <c r="H30" s="12"/>
      <c r="I30" s="36"/>
      <c r="J30" s="12">
        <v>8.3333333333333329E-2</v>
      </c>
    </row>
    <row r="31" spans="1:10" ht="13.2">
      <c r="A31" s="73">
        <f ca="1">IFERROR(__xludf.DUMMYFUNCTION("""COMPUTED_VALUE"""),118)</f>
        <v>118</v>
      </c>
      <c r="B31" s="74" t="str">
        <f ca="1">IFERROR(__xludf.DUMMYFUNCTION("""COMPUTED_VALUE"""),"Combat Wombat")</f>
        <v>Combat Wombat</v>
      </c>
      <c r="C31" s="75" t="str">
        <f ca="1">IFERROR(__xludf.DUMMYFUNCTION("""COMPUTED_VALUE"""),"Gymnázium Jakuba Škody")</f>
        <v>Gymnázium Jakuba Škody</v>
      </c>
      <c r="D31" s="76" t="str">
        <f ca="1">IFERROR(__xludf.DUMMYFUNCTION("""COMPUTED_VALUE"""),"SŠ")</f>
        <v>SŠ</v>
      </c>
      <c r="E31" s="10">
        <f t="shared" si="0"/>
        <v>0.125</v>
      </c>
      <c r="F31" s="72"/>
      <c r="G31" s="12"/>
      <c r="H31" s="12"/>
      <c r="I31" s="36"/>
      <c r="J31" s="12">
        <v>0.125</v>
      </c>
    </row>
    <row r="32" spans="1:10" ht="13.2">
      <c r="A32" s="73">
        <f ca="1">IFERROR(__xludf.DUMMYFUNCTION("""COMPUTED_VALUE"""),119)</f>
        <v>119</v>
      </c>
      <c r="B32" s="74" t="str">
        <f ca="1">IFERROR(__xludf.DUMMYFUNCTION("""COMPUTED_VALUE"""),"Vybitý baterky")</f>
        <v>Vybitý baterky</v>
      </c>
      <c r="C32" s="75" t="str">
        <f ca="1">IFERROR(__xludf.DUMMYFUNCTION("""COMPUTED_VALUE"""),"Gymnázium Jakuba Škody, Přerov")</f>
        <v>Gymnázium Jakuba Škody, Přerov</v>
      </c>
      <c r="D32" s="76" t="str">
        <f ca="1">IFERROR(__xludf.DUMMYFUNCTION("""COMPUTED_VALUE"""),"SŠ")</f>
        <v>SŠ</v>
      </c>
      <c r="E32" s="10">
        <f t="shared" si="0"/>
        <v>0.16666666666666666</v>
      </c>
      <c r="F32" s="72"/>
      <c r="G32" s="12"/>
      <c r="H32" s="12"/>
      <c r="I32" s="36"/>
      <c r="J32" s="12">
        <v>0.16666666666666666</v>
      </c>
    </row>
    <row r="33" spans="1:10" ht="13.2">
      <c r="A33" s="73">
        <f ca="1">IFERROR(__xludf.DUMMYFUNCTION("""COMPUTED_VALUE"""),133)</f>
        <v>133</v>
      </c>
      <c r="B33" s="74" t="str">
        <f ca="1">IFERROR(__xludf.DUMMYFUNCTION("""COMPUTED_VALUE"""),"Černilováci")</f>
        <v>Černilováci</v>
      </c>
      <c r="C33" s="75" t="str">
        <f ca="1">IFERROR(__xludf.DUMMYFUNCTION("""COMPUTED_VALUE"""),"Masarykova jubilejní ZŠ a MŠ Černilov")</f>
        <v>Masarykova jubilejní ZŠ a MŠ Černilov</v>
      </c>
      <c r="D33" s="76" t="str">
        <f ca="1">IFERROR(__xludf.DUMMYFUNCTION("""COMPUTED_VALUE"""),"ZŠ")</f>
        <v>ZŠ</v>
      </c>
      <c r="E33" s="10">
        <f t="shared" si="0"/>
        <v>0.20833333333333334</v>
      </c>
      <c r="F33" s="72"/>
      <c r="G33" s="12"/>
      <c r="H33" s="12"/>
      <c r="I33" s="36"/>
      <c r="J33" s="12">
        <v>0.20833333333333334</v>
      </c>
    </row>
    <row r="34" spans="1:10" ht="13.2">
      <c r="A34" s="73">
        <f ca="1">IFERROR(__xludf.DUMMYFUNCTION("""COMPUTED_VALUE"""),141)</f>
        <v>141</v>
      </c>
      <c r="B34" s="74" t="str">
        <f ca="1">IFERROR(__xludf.DUMMYFUNCTION("""COMPUTED_VALUE"""),"DELTA")</f>
        <v>DELTA</v>
      </c>
      <c r="C34" s="75" t="str">
        <f ca="1">IFERROR(__xludf.DUMMYFUNCTION("""COMPUTED_VALUE"""),"SPŠ elektrotechnická Prešov")</f>
        <v>SPŠ elektrotechnická Prešov</v>
      </c>
      <c r="D34" s="76" t="str">
        <f ca="1">IFERROR(__xludf.DUMMYFUNCTION("""COMPUTED_VALUE"""),"SŠ")</f>
        <v>SŠ</v>
      </c>
      <c r="E34" s="10">
        <f t="shared" si="0"/>
        <v>0.25</v>
      </c>
      <c r="F34" s="72"/>
      <c r="G34" s="12"/>
      <c r="H34" s="12"/>
      <c r="I34" s="36"/>
      <c r="J34" s="12">
        <v>0.25</v>
      </c>
    </row>
    <row r="35" spans="1:10" ht="13.2">
      <c r="A35" s="73">
        <f ca="1">IFERROR(__xludf.DUMMYFUNCTION("""COMPUTED_VALUE"""),150)</f>
        <v>150</v>
      </c>
      <c r="B35" s="74" t="str">
        <f ca="1">IFERROR(__xludf.DUMMYFUNCTION("""COMPUTED_VALUE"""),"Gearshift")</f>
        <v>Gearshift</v>
      </c>
      <c r="C35" s="75" t="str">
        <f ca="1">IFERROR(__xludf.DUMMYFUNCTION("""COMPUTED_VALUE"""),"VOŠ, SŠ, COP Sezimovo Ústí")</f>
        <v>VOŠ, SŠ, COP Sezimovo Ústí</v>
      </c>
      <c r="D35" s="76" t="str">
        <f ca="1">IFERROR(__xludf.DUMMYFUNCTION("""COMPUTED_VALUE"""),"SŠ")</f>
        <v>SŠ</v>
      </c>
      <c r="E35" s="10">
        <f t="shared" si="0"/>
        <v>0.29166666666666669</v>
      </c>
      <c r="F35" s="72"/>
      <c r="G35" s="12"/>
      <c r="H35" s="12"/>
      <c r="I35" s="36"/>
      <c r="J35" s="12">
        <v>0.29166666666666669</v>
      </c>
    </row>
    <row r="36" spans="1:10" ht="26.4">
      <c r="A36" s="73">
        <f ca="1">IFERROR(__xludf.DUMMYFUNCTION("""COMPUTED_VALUE"""),164)</f>
        <v>164</v>
      </c>
      <c r="B36" s="74" t="str">
        <f ca="1">IFERROR(__xludf.DUMMYFUNCTION("""COMPUTED_VALUE"""),"Bunlab Team II")</f>
        <v>Bunlab Team II</v>
      </c>
      <c r="C36" s="75" t="str">
        <f ca="1">IFERROR(__xludf.DUMMYFUNCTION("""COMPUTED_VALUE"""),"PSP Polska Nowa Wieś")</f>
        <v>PSP Polska Nowa Wieś</v>
      </c>
      <c r="D36" s="76" t="str">
        <f ca="1">IFERROR(__xludf.DUMMYFUNCTION("""COMPUTED_VALUE"""),"ZŠ (6-15 years)")</f>
        <v>ZŠ (6-15 years)</v>
      </c>
      <c r="E36" s="10">
        <f t="shared" si="0"/>
        <v>0.33333333333333331</v>
      </c>
      <c r="F36" s="72"/>
      <c r="G36" s="12"/>
      <c r="H36" s="12"/>
      <c r="I36" s="36"/>
      <c r="J36" s="12">
        <v>0.33333333333333331</v>
      </c>
    </row>
    <row r="37" spans="1:10" ht="26.4">
      <c r="A37" s="73">
        <f ca="1">IFERROR(__xludf.DUMMYFUNCTION("""COMPUTED_VALUE"""),166)</f>
        <v>166</v>
      </c>
      <c r="B37" s="74" t="str">
        <f ca="1">IFERROR(__xludf.DUMMYFUNCTION("""COMPUTED_VALUE"""),"Bunlab Team IV")</f>
        <v>Bunlab Team IV</v>
      </c>
      <c r="C37" s="75" t="str">
        <f ca="1">IFERROR(__xludf.DUMMYFUNCTION("""COMPUTED_VALUE"""),"LO Nr 1 Opole")</f>
        <v>LO Nr 1 Opole</v>
      </c>
      <c r="D37" s="76" t="str">
        <f ca="1">IFERROR(__xludf.DUMMYFUNCTION("""COMPUTED_VALUE"""),"SŠ (15-19 years)")</f>
        <v>SŠ (15-19 years)</v>
      </c>
      <c r="E37" s="10">
        <f t="shared" si="0"/>
        <v>0.375</v>
      </c>
      <c r="F37" s="72"/>
      <c r="G37" s="12"/>
      <c r="H37" s="12"/>
      <c r="I37" s="36"/>
      <c r="J37" s="12">
        <v>0.375</v>
      </c>
    </row>
    <row r="38" spans="1:10" ht="26.4">
      <c r="A38" s="73">
        <f ca="1">IFERROR(__xludf.DUMMYFUNCTION("""COMPUTED_VALUE"""),168)</f>
        <v>168</v>
      </c>
      <c r="B38" s="74" t="str">
        <f ca="1">IFERROR(__xludf.DUMMYFUNCTION("""COMPUTED_VALUE"""),"Bunlab Team VI")</f>
        <v>Bunlab Team VI</v>
      </c>
      <c r="C38" s="75" t="str">
        <f ca="1">IFERROR(__xludf.DUMMYFUNCTION("""COMPUTED_VALUE"""),"PSP Polska Nowa Wieś")</f>
        <v>PSP Polska Nowa Wieś</v>
      </c>
      <c r="D38" s="76" t="str">
        <f ca="1">IFERROR(__xludf.DUMMYFUNCTION("""COMPUTED_VALUE"""),"ZŠ (6-15 years)")</f>
        <v>ZŠ (6-15 years)</v>
      </c>
      <c r="E38" s="10">
        <f t="shared" si="0"/>
        <v>4.6874999999999998E-4</v>
      </c>
      <c r="F38" s="81">
        <v>4.6874999999999998E-4</v>
      </c>
      <c r="G38" s="12"/>
      <c r="H38" s="12"/>
      <c r="I38" s="36"/>
      <c r="J38" s="12">
        <v>0.41666666666666669</v>
      </c>
    </row>
    <row r="39" spans="1:10" ht="26.4">
      <c r="A39" s="73">
        <f ca="1">IFERROR(__xludf.DUMMYFUNCTION("""COMPUTED_VALUE"""),170)</f>
        <v>170</v>
      </c>
      <c r="B39" s="74" t="str">
        <f ca="1">IFERROR(__xludf.DUMMYFUNCTION("""COMPUTED_VALUE"""),"Bunlab Team VIII")</f>
        <v>Bunlab Team VIII</v>
      </c>
      <c r="C39" s="75" t="str">
        <f ca="1">IFERROR(__xludf.DUMMYFUNCTION("""COMPUTED_VALUE"""),"LO Nr 1 Opole")</f>
        <v>LO Nr 1 Opole</v>
      </c>
      <c r="D39" s="76" t="str">
        <f ca="1">IFERROR(__xludf.DUMMYFUNCTION("""COMPUTED_VALUE"""),"ZŠ (6-15 years)")</f>
        <v>ZŠ (6-15 years)</v>
      </c>
      <c r="E39" s="10">
        <f t="shared" si="0"/>
        <v>5.7210648148148149E-4</v>
      </c>
      <c r="F39" s="72">
        <v>5.7210648148148149E-4</v>
      </c>
      <c r="G39" s="12">
        <v>5.8252314814814809E-4</v>
      </c>
      <c r="H39" s="12"/>
      <c r="I39" s="36"/>
      <c r="J39" s="12">
        <v>0.45833333333333331</v>
      </c>
    </row>
    <row r="40" spans="1:10" ht="13.2">
      <c r="A40" s="73"/>
      <c r="B40" s="74"/>
      <c r="C40" s="75"/>
      <c r="D40" s="76"/>
      <c r="E40" s="10">
        <f t="shared" si="0"/>
        <v>0.5</v>
      </c>
      <c r="F40" s="72"/>
      <c r="G40" s="12"/>
      <c r="H40" s="12"/>
      <c r="I40" s="36"/>
      <c r="J40" s="12">
        <v>0.5</v>
      </c>
    </row>
    <row r="41" spans="1:10" ht="13.2">
      <c r="A41" s="73"/>
      <c r="B41" s="74"/>
      <c r="C41" s="75"/>
      <c r="D41" s="76"/>
      <c r="E41" s="10">
        <f t="shared" si="0"/>
        <v>0.54166666666666663</v>
      </c>
      <c r="F41" s="72"/>
      <c r="G41" s="12"/>
      <c r="H41" s="12"/>
      <c r="I41" s="36"/>
      <c r="J41" s="12">
        <v>0.54166666666666663</v>
      </c>
    </row>
    <row r="42" spans="1:10" ht="13.2">
      <c r="A42" s="73"/>
      <c r="B42" s="74"/>
      <c r="C42" s="75"/>
      <c r="D42" s="76"/>
      <c r="E42" s="10">
        <f t="shared" si="0"/>
        <v>0.58333333333333337</v>
      </c>
      <c r="F42" s="72"/>
      <c r="G42" s="12"/>
      <c r="H42" s="12"/>
      <c r="I42" s="36"/>
      <c r="J42" s="12">
        <v>0.58333333333333337</v>
      </c>
    </row>
    <row r="43" spans="1:10" ht="13.2">
      <c r="A43" s="82"/>
      <c r="B43" s="50"/>
      <c r="D43" s="51"/>
    </row>
    <row r="44" spans="1:10" ht="13.2">
      <c r="A44" s="82"/>
      <c r="B44" s="50"/>
      <c r="D44" s="51"/>
    </row>
    <row r="45" spans="1:10" ht="13.2">
      <c r="A45" s="82"/>
      <c r="B45" s="50"/>
      <c r="D45" s="51"/>
    </row>
    <row r="46" spans="1:10" ht="13.2">
      <c r="A46" s="82"/>
      <c r="B46" s="50"/>
      <c r="D46" s="51"/>
    </row>
    <row r="47" spans="1:10" ht="13.2">
      <c r="A47" s="82"/>
      <c r="B47" s="50"/>
      <c r="D47" s="51"/>
    </row>
    <row r="48" spans="1:10" ht="13.2">
      <c r="A48" s="82"/>
      <c r="B48" s="50"/>
      <c r="D48" s="51"/>
    </row>
    <row r="49" spans="1:4" ht="13.2">
      <c r="A49" s="82"/>
      <c r="B49" s="50"/>
      <c r="D49" s="51"/>
    </row>
    <row r="50" spans="1:4" ht="13.2">
      <c r="A50" s="82"/>
      <c r="B50" s="50"/>
      <c r="D50" s="51"/>
    </row>
    <row r="51" spans="1:4" ht="13.2">
      <c r="A51" s="82"/>
      <c r="B51" s="50"/>
      <c r="D51" s="51"/>
    </row>
    <row r="52" spans="1:4" ht="13.2">
      <c r="A52" s="82"/>
      <c r="B52" s="50"/>
      <c r="D52" s="51"/>
    </row>
    <row r="53" spans="1:4" ht="13.2">
      <c r="A53" s="82"/>
      <c r="B53" s="50"/>
      <c r="D53" s="51"/>
    </row>
    <row r="54" spans="1:4" ht="13.2">
      <c r="A54" s="82"/>
      <c r="B54" s="50"/>
      <c r="D54" s="51"/>
    </row>
    <row r="55" spans="1:4" ht="13.2">
      <c r="A55" s="82"/>
      <c r="B55" s="50"/>
      <c r="D55" s="51"/>
    </row>
    <row r="56" spans="1:4" ht="13.2">
      <c r="A56" s="82"/>
      <c r="B56" s="50"/>
      <c r="D56" s="51"/>
    </row>
    <row r="57" spans="1:4" ht="13.2">
      <c r="A57" s="82"/>
      <c r="B57" s="50"/>
      <c r="D57" s="51"/>
    </row>
    <row r="58" spans="1:4" ht="13.2">
      <c r="A58" s="82"/>
      <c r="B58" s="50"/>
      <c r="D58" s="51"/>
    </row>
    <row r="59" spans="1:4" ht="13.2">
      <c r="A59" s="82"/>
      <c r="B59" s="50"/>
      <c r="D59" s="51"/>
    </row>
    <row r="60" spans="1:4" ht="13.2">
      <c r="A60" s="82"/>
      <c r="B60" s="50"/>
      <c r="D60" s="51"/>
    </row>
    <row r="61" spans="1:4" ht="13.2">
      <c r="A61" s="82"/>
      <c r="B61" s="50"/>
      <c r="D61" s="51"/>
    </row>
    <row r="62" spans="1:4" ht="13.2">
      <c r="A62" s="82"/>
      <c r="B62" s="50"/>
      <c r="D62" s="51"/>
    </row>
    <row r="63" spans="1:4" ht="13.2">
      <c r="A63" s="82"/>
      <c r="B63" s="50"/>
      <c r="D63" s="51"/>
    </row>
    <row r="64" spans="1:4" ht="13.2">
      <c r="A64" s="82"/>
      <c r="B64" s="50"/>
      <c r="D64" s="51"/>
    </row>
    <row r="65" spans="1:4" ht="13.2">
      <c r="A65" s="82"/>
      <c r="B65" s="50"/>
      <c r="D65" s="51"/>
    </row>
    <row r="66" spans="1:4" ht="13.2">
      <c r="A66" s="82"/>
      <c r="B66" s="50"/>
      <c r="D66" s="51"/>
    </row>
    <row r="67" spans="1:4" ht="13.2">
      <c r="A67" s="82"/>
      <c r="B67" s="50"/>
      <c r="D67" s="51"/>
    </row>
    <row r="68" spans="1:4" ht="13.2">
      <c r="A68" s="82"/>
      <c r="B68" s="50"/>
      <c r="D68" s="51"/>
    </row>
    <row r="69" spans="1:4" ht="13.2">
      <c r="A69" s="82"/>
      <c r="B69" s="50"/>
      <c r="D69" s="51"/>
    </row>
    <row r="70" spans="1:4" ht="13.2">
      <c r="A70" s="82"/>
      <c r="B70" s="50"/>
      <c r="D70" s="51"/>
    </row>
    <row r="71" spans="1:4" ht="13.2">
      <c r="A71" s="82"/>
      <c r="B71" s="50"/>
      <c r="D71" s="51"/>
    </row>
    <row r="72" spans="1:4" ht="13.2">
      <c r="A72" s="82"/>
      <c r="B72" s="50"/>
      <c r="D72" s="51"/>
    </row>
    <row r="73" spans="1:4" ht="13.2">
      <c r="A73" s="82"/>
      <c r="B73" s="50"/>
      <c r="D73" s="51"/>
    </row>
    <row r="74" spans="1:4" ht="13.2">
      <c r="A74" s="82"/>
      <c r="B74" s="50"/>
      <c r="D74" s="51"/>
    </row>
    <row r="75" spans="1:4" ht="13.2">
      <c r="A75" s="82"/>
      <c r="B75" s="50"/>
      <c r="D75" s="51"/>
    </row>
    <row r="76" spans="1:4" ht="13.2">
      <c r="A76" s="82"/>
      <c r="B76" s="50"/>
      <c r="D76" s="51"/>
    </row>
    <row r="77" spans="1:4" ht="13.2">
      <c r="A77" s="82"/>
      <c r="B77" s="50"/>
      <c r="D77" s="51"/>
    </row>
    <row r="78" spans="1:4" ht="13.2">
      <c r="A78" s="82"/>
      <c r="B78" s="50"/>
      <c r="D78" s="51"/>
    </row>
    <row r="79" spans="1:4" ht="13.2">
      <c r="A79" s="82"/>
      <c r="B79" s="50"/>
      <c r="D79" s="51"/>
    </row>
    <row r="80" spans="1:4" ht="13.2">
      <c r="A80" s="82"/>
      <c r="B80" s="50"/>
      <c r="D80" s="51"/>
    </row>
    <row r="81" spans="1:4" ht="13.2">
      <c r="A81" s="82"/>
      <c r="B81" s="50"/>
      <c r="D81" s="51"/>
    </row>
    <row r="82" spans="1:4" ht="13.2">
      <c r="A82" s="82"/>
      <c r="B82" s="50"/>
      <c r="D82" s="51"/>
    </row>
    <row r="83" spans="1:4" ht="13.2">
      <c r="A83" s="82"/>
      <c r="B83" s="50"/>
      <c r="D83" s="51"/>
    </row>
    <row r="84" spans="1:4" ht="13.2">
      <c r="A84" s="82"/>
      <c r="B84" s="50"/>
      <c r="D84" s="51"/>
    </row>
    <row r="85" spans="1:4" ht="13.2">
      <c r="A85" s="82"/>
      <c r="B85" s="50"/>
      <c r="D85" s="51"/>
    </row>
    <row r="86" spans="1:4" ht="13.2">
      <c r="A86" s="82"/>
      <c r="B86" s="50"/>
      <c r="D86" s="51"/>
    </row>
    <row r="87" spans="1:4" ht="13.2">
      <c r="A87" s="82"/>
      <c r="B87" s="50"/>
      <c r="D87" s="51"/>
    </row>
    <row r="88" spans="1:4" ht="13.2">
      <c r="A88" s="82"/>
      <c r="B88" s="50"/>
      <c r="D88" s="51"/>
    </row>
    <row r="89" spans="1:4" ht="13.2">
      <c r="A89" s="82"/>
      <c r="B89" s="50"/>
      <c r="D89" s="51"/>
    </row>
    <row r="90" spans="1:4" ht="13.2">
      <c r="A90" s="82"/>
      <c r="B90" s="50"/>
      <c r="D90" s="51"/>
    </row>
    <row r="91" spans="1:4" ht="13.2">
      <c r="A91" s="82"/>
      <c r="B91" s="50"/>
      <c r="D91" s="51"/>
    </row>
    <row r="92" spans="1:4" ht="13.2">
      <c r="A92" s="82"/>
      <c r="B92" s="50"/>
      <c r="D92" s="51"/>
    </row>
    <row r="93" spans="1:4" ht="13.2">
      <c r="A93" s="82"/>
      <c r="B93" s="50"/>
      <c r="D93" s="51"/>
    </row>
    <row r="94" spans="1:4" ht="13.2">
      <c r="A94" s="82"/>
      <c r="B94" s="50"/>
      <c r="D94" s="51"/>
    </row>
    <row r="95" spans="1:4" ht="13.2">
      <c r="A95" s="82"/>
      <c r="B95" s="50"/>
      <c r="D95" s="51"/>
    </row>
    <row r="96" spans="1:4" ht="13.2">
      <c r="A96" s="82"/>
      <c r="B96" s="50"/>
      <c r="D96" s="51"/>
    </row>
    <row r="97" spans="1:4" ht="13.2">
      <c r="A97" s="82"/>
      <c r="B97" s="50"/>
      <c r="D97" s="51"/>
    </row>
    <row r="98" spans="1:4" ht="13.2">
      <c r="A98" s="82"/>
      <c r="B98" s="50"/>
      <c r="D98" s="51"/>
    </row>
    <row r="99" spans="1:4" ht="13.2">
      <c r="A99" s="82"/>
      <c r="B99" s="50"/>
      <c r="D99" s="51"/>
    </row>
    <row r="100" spans="1:4" ht="13.2">
      <c r="A100" s="82"/>
      <c r="B100" s="50"/>
      <c r="D100" s="51"/>
    </row>
    <row r="101" spans="1:4" ht="13.2">
      <c r="A101" s="82"/>
      <c r="B101" s="50"/>
      <c r="D101" s="51"/>
    </row>
    <row r="102" spans="1:4" ht="13.2">
      <c r="A102" s="82"/>
      <c r="B102" s="50"/>
      <c r="D102" s="51"/>
    </row>
    <row r="103" spans="1:4" ht="13.2">
      <c r="A103" s="82"/>
      <c r="B103" s="50"/>
      <c r="D103" s="51"/>
    </row>
    <row r="104" spans="1:4" ht="13.2">
      <c r="A104" s="82"/>
      <c r="B104" s="50"/>
      <c r="D104" s="51"/>
    </row>
    <row r="105" spans="1:4" ht="13.2">
      <c r="A105" s="82"/>
      <c r="B105" s="50"/>
      <c r="D105" s="51"/>
    </row>
    <row r="106" spans="1:4" ht="13.2">
      <c r="A106" s="82"/>
      <c r="B106" s="50"/>
      <c r="D106" s="51"/>
    </row>
    <row r="107" spans="1:4" ht="13.2">
      <c r="A107" s="82"/>
      <c r="B107" s="50"/>
      <c r="D107" s="51"/>
    </row>
    <row r="108" spans="1:4" ht="13.2">
      <c r="A108" s="82"/>
      <c r="B108" s="50"/>
      <c r="D108" s="51"/>
    </row>
    <row r="109" spans="1:4" ht="13.2">
      <c r="A109" s="82"/>
      <c r="B109" s="50"/>
      <c r="D109" s="51"/>
    </row>
    <row r="110" spans="1:4" ht="13.2">
      <c r="A110" s="82"/>
      <c r="B110" s="50"/>
      <c r="D110" s="51"/>
    </row>
    <row r="111" spans="1:4" ht="13.2">
      <c r="A111" s="82"/>
      <c r="B111" s="50"/>
      <c r="D111" s="51"/>
    </row>
    <row r="112" spans="1:4" ht="13.2">
      <c r="A112" s="82"/>
      <c r="B112" s="50"/>
      <c r="D112" s="51"/>
    </row>
    <row r="113" spans="1:4" ht="13.2">
      <c r="A113" s="82"/>
      <c r="B113" s="50"/>
      <c r="D113" s="51"/>
    </row>
    <row r="114" spans="1:4" ht="13.2">
      <c r="A114" s="82"/>
      <c r="B114" s="50"/>
      <c r="D114" s="51"/>
    </row>
    <row r="115" spans="1:4" ht="13.2">
      <c r="A115" s="82"/>
      <c r="B115" s="50"/>
      <c r="D115" s="51"/>
    </row>
    <row r="116" spans="1:4" ht="13.2">
      <c r="A116" s="82"/>
      <c r="B116" s="50"/>
      <c r="D116" s="51"/>
    </row>
    <row r="117" spans="1:4" ht="13.2">
      <c r="A117" s="82"/>
      <c r="B117" s="50"/>
      <c r="D117" s="51"/>
    </row>
    <row r="118" spans="1:4" ht="13.2">
      <c r="A118" s="82"/>
      <c r="B118" s="50"/>
      <c r="D118" s="51"/>
    </row>
    <row r="119" spans="1:4" ht="13.2">
      <c r="A119" s="82"/>
      <c r="B119" s="50"/>
      <c r="D119" s="51"/>
    </row>
    <row r="120" spans="1:4" ht="13.2">
      <c r="A120" s="82"/>
      <c r="B120" s="50"/>
      <c r="D120" s="51"/>
    </row>
    <row r="121" spans="1:4" ht="13.2">
      <c r="A121" s="82"/>
      <c r="B121" s="50"/>
      <c r="D121" s="51"/>
    </row>
    <row r="122" spans="1:4" ht="13.2">
      <c r="A122" s="82"/>
      <c r="B122" s="50"/>
      <c r="D122" s="51"/>
    </row>
    <row r="123" spans="1:4" ht="13.2">
      <c r="A123" s="82"/>
      <c r="B123" s="50"/>
      <c r="D123" s="51"/>
    </row>
    <row r="124" spans="1:4" ht="13.2">
      <c r="A124" s="82"/>
      <c r="B124" s="50"/>
      <c r="D124" s="51"/>
    </row>
    <row r="125" spans="1:4" ht="13.2">
      <c r="A125" s="82"/>
      <c r="B125" s="50"/>
      <c r="D125" s="51"/>
    </row>
    <row r="126" spans="1:4" ht="13.2">
      <c r="A126" s="82"/>
      <c r="B126" s="50"/>
      <c r="D126" s="51"/>
    </row>
    <row r="127" spans="1:4" ht="13.2">
      <c r="A127" s="82"/>
      <c r="B127" s="50"/>
      <c r="D127" s="51"/>
    </row>
    <row r="128" spans="1:4" ht="13.2">
      <c r="A128" s="82"/>
      <c r="B128" s="50"/>
      <c r="D128" s="51"/>
    </row>
    <row r="129" spans="1:4" ht="13.2">
      <c r="A129" s="82"/>
      <c r="B129" s="50"/>
      <c r="D129" s="51"/>
    </row>
    <row r="130" spans="1:4" ht="13.2">
      <c r="A130" s="82"/>
      <c r="B130" s="50"/>
      <c r="D130" s="51"/>
    </row>
    <row r="131" spans="1:4" ht="13.2">
      <c r="A131" s="82"/>
      <c r="B131" s="50"/>
      <c r="D131" s="51"/>
    </row>
    <row r="132" spans="1:4" ht="13.2">
      <c r="A132" s="82"/>
      <c r="B132" s="50"/>
      <c r="D132" s="51"/>
    </row>
    <row r="133" spans="1:4" ht="13.2">
      <c r="A133" s="82"/>
      <c r="B133" s="50"/>
      <c r="D133" s="51"/>
    </row>
    <row r="134" spans="1:4" ht="13.2">
      <c r="A134" s="82"/>
      <c r="B134" s="50"/>
      <c r="D134" s="51"/>
    </row>
    <row r="135" spans="1:4" ht="13.2">
      <c r="A135" s="82"/>
      <c r="B135" s="50"/>
      <c r="D135" s="51"/>
    </row>
    <row r="136" spans="1:4" ht="13.2">
      <c r="A136" s="82"/>
      <c r="B136" s="50"/>
      <c r="D136" s="51"/>
    </row>
    <row r="137" spans="1:4" ht="13.2">
      <c r="A137" s="82"/>
      <c r="B137" s="50"/>
      <c r="D137" s="51"/>
    </row>
    <row r="138" spans="1:4" ht="13.2">
      <c r="A138" s="82"/>
      <c r="B138" s="50"/>
      <c r="D138" s="51"/>
    </row>
    <row r="139" spans="1:4" ht="13.2">
      <c r="A139" s="82"/>
      <c r="B139" s="50"/>
      <c r="D139" s="51"/>
    </row>
    <row r="140" spans="1:4" ht="13.2">
      <c r="A140" s="82"/>
      <c r="B140" s="50"/>
      <c r="D140" s="51"/>
    </row>
    <row r="141" spans="1:4" ht="13.2">
      <c r="A141" s="82"/>
      <c r="B141" s="50"/>
      <c r="D141" s="51"/>
    </row>
    <row r="142" spans="1:4" ht="13.2">
      <c r="A142" s="82"/>
      <c r="B142" s="50"/>
      <c r="D142" s="51"/>
    </row>
    <row r="143" spans="1:4" ht="13.2">
      <c r="A143" s="82"/>
      <c r="B143" s="50"/>
      <c r="D143" s="51"/>
    </row>
    <row r="144" spans="1:4" ht="13.2">
      <c r="A144" s="82"/>
      <c r="B144" s="50"/>
      <c r="D144" s="51"/>
    </row>
    <row r="145" spans="1:4" ht="13.2">
      <c r="A145" s="82"/>
      <c r="B145" s="50"/>
      <c r="D145" s="51"/>
    </row>
    <row r="146" spans="1:4" ht="13.2">
      <c r="A146" s="82"/>
      <c r="B146" s="50"/>
      <c r="D146" s="51"/>
    </row>
    <row r="147" spans="1:4" ht="13.2">
      <c r="A147" s="82"/>
      <c r="B147" s="50"/>
      <c r="D147" s="51"/>
    </row>
    <row r="148" spans="1:4" ht="13.2">
      <c r="A148" s="82"/>
      <c r="B148" s="50"/>
      <c r="D148" s="51"/>
    </row>
    <row r="149" spans="1:4" ht="13.2">
      <c r="A149" s="82"/>
      <c r="B149" s="50"/>
      <c r="D149" s="51"/>
    </row>
    <row r="150" spans="1:4" ht="13.2">
      <c r="A150" s="82"/>
      <c r="B150" s="50"/>
      <c r="D150" s="51"/>
    </row>
    <row r="151" spans="1:4" ht="13.2">
      <c r="A151" s="82"/>
      <c r="B151" s="50"/>
      <c r="D151" s="51"/>
    </row>
    <row r="152" spans="1:4" ht="13.2">
      <c r="A152" s="82"/>
      <c r="B152" s="50"/>
      <c r="D152" s="51"/>
    </row>
    <row r="153" spans="1:4" ht="13.2">
      <c r="A153" s="82"/>
      <c r="B153" s="50"/>
      <c r="D153" s="51"/>
    </row>
    <row r="154" spans="1:4" ht="13.2">
      <c r="A154" s="82"/>
      <c r="B154" s="50"/>
      <c r="D154" s="51"/>
    </row>
    <row r="155" spans="1:4" ht="13.2">
      <c r="A155" s="82"/>
      <c r="B155" s="50"/>
      <c r="D155" s="51"/>
    </row>
    <row r="156" spans="1:4" ht="13.2">
      <c r="A156" s="82"/>
      <c r="B156" s="50"/>
      <c r="D156" s="51"/>
    </row>
    <row r="157" spans="1:4" ht="13.2">
      <c r="A157" s="82"/>
      <c r="B157" s="50"/>
      <c r="D157" s="51"/>
    </row>
    <row r="158" spans="1:4" ht="13.2">
      <c r="A158" s="82"/>
      <c r="B158" s="50"/>
      <c r="D158" s="51"/>
    </row>
    <row r="159" spans="1:4" ht="13.2">
      <c r="A159" s="82"/>
      <c r="B159" s="50"/>
      <c r="D159" s="51"/>
    </row>
    <row r="160" spans="1:4" ht="13.2">
      <c r="A160" s="82"/>
      <c r="B160" s="50"/>
      <c r="D160" s="51"/>
    </row>
    <row r="161" spans="1:4" ht="13.2">
      <c r="A161" s="82"/>
      <c r="B161" s="50"/>
      <c r="D161" s="51"/>
    </row>
    <row r="162" spans="1:4" ht="13.2">
      <c r="A162" s="82"/>
      <c r="B162" s="50"/>
      <c r="D162" s="51"/>
    </row>
    <row r="163" spans="1:4" ht="13.2">
      <c r="A163" s="82"/>
      <c r="B163" s="50"/>
      <c r="D163" s="51"/>
    </row>
    <row r="164" spans="1:4" ht="13.2">
      <c r="A164" s="82"/>
      <c r="B164" s="50"/>
      <c r="D164" s="51"/>
    </row>
    <row r="165" spans="1:4" ht="13.2">
      <c r="A165" s="82"/>
      <c r="B165" s="50"/>
      <c r="D165" s="51"/>
    </row>
    <row r="166" spans="1:4" ht="13.2">
      <c r="A166" s="82"/>
      <c r="B166" s="50"/>
      <c r="D166" s="51"/>
    </row>
    <row r="167" spans="1:4" ht="13.2">
      <c r="A167" s="82"/>
      <c r="B167" s="50"/>
      <c r="D167" s="51"/>
    </row>
    <row r="168" spans="1:4" ht="13.2">
      <c r="A168" s="82"/>
      <c r="B168" s="50"/>
      <c r="D168" s="51"/>
    </row>
    <row r="169" spans="1:4" ht="13.2">
      <c r="A169" s="82"/>
      <c r="B169" s="50"/>
      <c r="D169" s="51"/>
    </row>
    <row r="170" spans="1:4" ht="13.2">
      <c r="A170" s="82"/>
      <c r="B170" s="50"/>
      <c r="D170" s="51"/>
    </row>
    <row r="171" spans="1:4" ht="13.2">
      <c r="A171" s="82"/>
      <c r="B171" s="50"/>
      <c r="D171" s="51"/>
    </row>
    <row r="172" spans="1:4" ht="13.2">
      <c r="A172" s="82"/>
      <c r="B172" s="50"/>
      <c r="D172" s="51"/>
    </row>
    <row r="173" spans="1:4" ht="13.2">
      <c r="A173" s="82"/>
      <c r="B173" s="50"/>
      <c r="D173" s="51"/>
    </row>
    <row r="174" spans="1:4" ht="13.2">
      <c r="A174" s="82"/>
      <c r="B174" s="50"/>
      <c r="D174" s="51"/>
    </row>
    <row r="175" spans="1:4" ht="13.2">
      <c r="A175" s="82"/>
      <c r="B175" s="50"/>
      <c r="D175" s="51"/>
    </row>
    <row r="176" spans="1:4" ht="13.2">
      <c r="A176" s="82"/>
      <c r="B176" s="50"/>
      <c r="D176" s="51"/>
    </row>
    <row r="177" spans="1:4" ht="13.2">
      <c r="A177" s="82"/>
      <c r="B177" s="50"/>
      <c r="D177" s="51"/>
    </row>
    <row r="178" spans="1:4" ht="13.2">
      <c r="A178" s="82"/>
      <c r="B178" s="50"/>
      <c r="D178" s="51"/>
    </row>
    <row r="179" spans="1:4" ht="13.2">
      <c r="A179" s="82"/>
      <c r="B179" s="50"/>
      <c r="D179" s="51"/>
    </row>
    <row r="180" spans="1:4" ht="13.2">
      <c r="A180" s="82"/>
      <c r="B180" s="50"/>
      <c r="D180" s="51"/>
    </row>
    <row r="181" spans="1:4" ht="13.2">
      <c r="A181" s="82"/>
      <c r="B181" s="50"/>
      <c r="D181" s="51"/>
    </row>
    <row r="182" spans="1:4" ht="13.2">
      <c r="A182" s="82"/>
      <c r="B182" s="50"/>
      <c r="D182" s="51"/>
    </row>
    <row r="183" spans="1:4" ht="13.2">
      <c r="A183" s="82"/>
      <c r="B183" s="50"/>
      <c r="D183" s="51"/>
    </row>
    <row r="184" spans="1:4" ht="13.2">
      <c r="A184" s="82"/>
      <c r="B184" s="50"/>
      <c r="D184" s="51"/>
    </row>
    <row r="185" spans="1:4" ht="13.2">
      <c r="A185" s="82"/>
      <c r="B185" s="50"/>
      <c r="D185" s="51"/>
    </row>
    <row r="186" spans="1:4" ht="13.2">
      <c r="A186" s="82"/>
      <c r="B186" s="50"/>
      <c r="D186" s="51"/>
    </row>
    <row r="187" spans="1:4" ht="13.2">
      <c r="A187" s="82"/>
      <c r="B187" s="50"/>
      <c r="D187" s="51"/>
    </row>
    <row r="188" spans="1:4" ht="13.2">
      <c r="A188" s="82"/>
      <c r="B188" s="50"/>
      <c r="D188" s="51"/>
    </row>
    <row r="189" spans="1:4" ht="13.2">
      <c r="A189" s="82"/>
      <c r="B189" s="50"/>
      <c r="D189" s="51"/>
    </row>
    <row r="190" spans="1:4" ht="13.2">
      <c r="A190" s="82"/>
      <c r="B190" s="50"/>
      <c r="D190" s="51"/>
    </row>
    <row r="191" spans="1:4" ht="13.2">
      <c r="A191" s="82"/>
      <c r="B191" s="50"/>
      <c r="D191" s="51"/>
    </row>
    <row r="192" spans="1:4" ht="13.2">
      <c r="A192" s="82"/>
      <c r="B192" s="50"/>
      <c r="D192" s="51"/>
    </row>
    <row r="193" spans="1:4" ht="13.2">
      <c r="A193" s="82"/>
      <c r="B193" s="50"/>
      <c r="D193" s="51"/>
    </row>
    <row r="194" spans="1:4" ht="13.2">
      <c r="A194" s="82"/>
      <c r="B194" s="50"/>
      <c r="D194" s="51"/>
    </row>
    <row r="195" spans="1:4" ht="13.2">
      <c r="A195" s="82"/>
      <c r="B195" s="50"/>
      <c r="D195" s="51"/>
    </row>
    <row r="196" spans="1:4" ht="13.2">
      <c r="A196" s="82"/>
      <c r="B196" s="50"/>
      <c r="D196" s="51"/>
    </row>
    <row r="197" spans="1:4" ht="13.2">
      <c r="A197" s="82"/>
      <c r="B197" s="50"/>
      <c r="D197" s="51"/>
    </row>
    <row r="198" spans="1:4" ht="13.2">
      <c r="A198" s="82"/>
      <c r="B198" s="50"/>
      <c r="D198" s="51"/>
    </row>
    <row r="199" spans="1:4" ht="13.2">
      <c r="A199" s="82"/>
      <c r="B199" s="50"/>
      <c r="D199" s="51"/>
    </row>
    <row r="200" spans="1:4" ht="13.2">
      <c r="A200" s="82"/>
      <c r="B200" s="50"/>
      <c r="D200" s="51"/>
    </row>
    <row r="201" spans="1:4" ht="13.2">
      <c r="A201" s="82"/>
      <c r="B201" s="50"/>
      <c r="D201" s="51"/>
    </row>
    <row r="202" spans="1:4" ht="13.2">
      <c r="A202" s="82"/>
      <c r="B202" s="50"/>
      <c r="D202" s="51"/>
    </row>
    <row r="203" spans="1:4" ht="13.2">
      <c r="A203" s="82"/>
      <c r="B203" s="50"/>
      <c r="D203" s="51"/>
    </row>
    <row r="204" spans="1:4" ht="13.2">
      <c r="A204" s="82"/>
      <c r="B204" s="50"/>
      <c r="D204" s="51"/>
    </row>
    <row r="205" spans="1:4" ht="13.2">
      <c r="A205" s="82"/>
      <c r="B205" s="50"/>
      <c r="D205" s="51"/>
    </row>
    <row r="206" spans="1:4" ht="13.2">
      <c r="A206" s="82"/>
      <c r="B206" s="50"/>
      <c r="D206" s="51"/>
    </row>
    <row r="207" spans="1:4" ht="13.2">
      <c r="A207" s="82"/>
      <c r="B207" s="50"/>
      <c r="D207" s="51"/>
    </row>
    <row r="208" spans="1:4" ht="13.2">
      <c r="A208" s="82"/>
      <c r="B208" s="50"/>
      <c r="D208" s="51"/>
    </row>
    <row r="209" spans="1:4" ht="13.2">
      <c r="A209" s="82"/>
      <c r="B209" s="50"/>
      <c r="D209" s="51"/>
    </row>
    <row r="210" spans="1:4" ht="13.2">
      <c r="A210" s="82"/>
      <c r="B210" s="50"/>
      <c r="D210" s="51"/>
    </row>
    <row r="211" spans="1:4" ht="13.2">
      <c r="A211" s="82"/>
      <c r="B211" s="50"/>
      <c r="D211" s="51"/>
    </row>
    <row r="212" spans="1:4" ht="13.2">
      <c r="A212" s="82"/>
      <c r="B212" s="50"/>
      <c r="D212" s="51"/>
    </row>
    <row r="213" spans="1:4" ht="13.2">
      <c r="A213" s="82"/>
      <c r="B213" s="50"/>
      <c r="D213" s="51"/>
    </row>
    <row r="214" spans="1:4" ht="13.2">
      <c r="A214" s="82"/>
      <c r="B214" s="50"/>
      <c r="D214" s="51"/>
    </row>
    <row r="215" spans="1:4" ht="13.2">
      <c r="A215" s="82"/>
      <c r="B215" s="50"/>
      <c r="D215" s="51"/>
    </row>
    <row r="216" spans="1:4" ht="13.2">
      <c r="A216" s="82"/>
      <c r="B216" s="50"/>
      <c r="D216" s="51"/>
    </row>
    <row r="217" spans="1:4" ht="13.2">
      <c r="A217" s="82"/>
      <c r="B217" s="50"/>
      <c r="D217" s="51"/>
    </row>
    <row r="218" spans="1:4" ht="13.2">
      <c r="A218" s="82"/>
      <c r="B218" s="50"/>
      <c r="D218" s="51"/>
    </row>
    <row r="219" spans="1:4" ht="13.2">
      <c r="A219" s="82"/>
      <c r="B219" s="50"/>
      <c r="D219" s="51"/>
    </row>
    <row r="220" spans="1:4" ht="13.2">
      <c r="A220" s="82"/>
      <c r="B220" s="50"/>
      <c r="D220" s="51"/>
    </row>
    <row r="221" spans="1:4" ht="13.2">
      <c r="A221" s="82"/>
      <c r="B221" s="50"/>
      <c r="D221" s="51"/>
    </row>
    <row r="222" spans="1:4" ht="13.2">
      <c r="A222" s="82"/>
      <c r="B222" s="50"/>
      <c r="D222" s="51"/>
    </row>
    <row r="223" spans="1:4" ht="13.2">
      <c r="A223" s="82"/>
      <c r="B223" s="50"/>
      <c r="D223" s="51"/>
    </row>
    <row r="224" spans="1:4" ht="13.2">
      <c r="A224" s="82"/>
      <c r="B224" s="50"/>
      <c r="D224" s="51"/>
    </row>
    <row r="225" spans="1:4" ht="13.2">
      <c r="A225" s="82"/>
      <c r="B225" s="50"/>
      <c r="D225" s="51"/>
    </row>
    <row r="226" spans="1:4" ht="13.2">
      <c r="A226" s="82"/>
      <c r="B226" s="50"/>
      <c r="D226" s="51"/>
    </row>
    <row r="227" spans="1:4" ht="13.2">
      <c r="A227" s="82"/>
      <c r="B227" s="50"/>
      <c r="D227" s="51"/>
    </row>
    <row r="228" spans="1:4" ht="13.2">
      <c r="A228" s="82"/>
      <c r="B228" s="50"/>
      <c r="D228" s="51"/>
    </row>
    <row r="229" spans="1:4" ht="13.2">
      <c r="A229" s="82"/>
      <c r="B229" s="50"/>
      <c r="D229" s="51"/>
    </row>
    <row r="230" spans="1:4" ht="13.2">
      <c r="A230" s="82"/>
      <c r="B230" s="50"/>
      <c r="D230" s="51"/>
    </row>
    <row r="231" spans="1:4" ht="13.2">
      <c r="A231" s="82"/>
      <c r="B231" s="50"/>
      <c r="D231" s="51"/>
    </row>
    <row r="232" spans="1:4" ht="13.2">
      <c r="A232" s="82"/>
      <c r="B232" s="50"/>
      <c r="D232" s="51"/>
    </row>
    <row r="233" spans="1:4" ht="13.2">
      <c r="A233" s="82"/>
      <c r="B233" s="50"/>
      <c r="D233" s="51"/>
    </row>
    <row r="234" spans="1:4" ht="13.2">
      <c r="A234" s="82"/>
      <c r="B234" s="50"/>
      <c r="D234" s="51"/>
    </row>
    <row r="235" spans="1:4" ht="13.2">
      <c r="A235" s="82"/>
      <c r="B235" s="50"/>
      <c r="D235" s="51"/>
    </row>
    <row r="236" spans="1:4" ht="13.2">
      <c r="A236" s="82"/>
      <c r="B236" s="50"/>
      <c r="D236" s="51"/>
    </row>
    <row r="237" spans="1:4" ht="13.2">
      <c r="A237" s="82"/>
      <c r="B237" s="50"/>
      <c r="D237" s="51"/>
    </row>
    <row r="238" spans="1:4" ht="13.2">
      <c r="A238" s="82"/>
      <c r="B238" s="50"/>
      <c r="D238" s="51"/>
    </row>
    <row r="239" spans="1:4" ht="13.2">
      <c r="A239" s="82"/>
      <c r="B239" s="50"/>
      <c r="D239" s="51"/>
    </row>
    <row r="240" spans="1:4" ht="13.2">
      <c r="A240" s="82"/>
      <c r="B240" s="50"/>
      <c r="D240" s="51"/>
    </row>
    <row r="241" spans="1:4" ht="13.2">
      <c r="A241" s="82"/>
      <c r="B241" s="50"/>
      <c r="D241" s="51"/>
    </row>
    <row r="242" spans="1:4" ht="13.2">
      <c r="A242" s="82"/>
      <c r="B242" s="50"/>
      <c r="D242" s="51"/>
    </row>
    <row r="243" spans="1:4" ht="13.2">
      <c r="A243" s="82"/>
      <c r="B243" s="50"/>
      <c r="D243" s="51"/>
    </row>
    <row r="244" spans="1:4" ht="13.2">
      <c r="A244" s="82"/>
      <c r="B244" s="50"/>
      <c r="D244" s="51"/>
    </row>
    <row r="245" spans="1:4" ht="13.2">
      <c r="A245" s="82"/>
      <c r="B245" s="50"/>
      <c r="D245" s="51"/>
    </row>
    <row r="246" spans="1:4" ht="13.2">
      <c r="A246" s="82"/>
      <c r="B246" s="50"/>
      <c r="D246" s="51"/>
    </row>
    <row r="247" spans="1:4" ht="13.2">
      <c r="A247" s="82"/>
      <c r="B247" s="50"/>
      <c r="D247" s="51"/>
    </row>
    <row r="248" spans="1:4" ht="13.2">
      <c r="A248" s="82"/>
      <c r="B248" s="50"/>
      <c r="D248" s="51"/>
    </row>
    <row r="249" spans="1:4" ht="13.2">
      <c r="A249" s="82"/>
      <c r="B249" s="50"/>
      <c r="D249" s="51"/>
    </row>
    <row r="250" spans="1:4" ht="13.2">
      <c r="A250" s="82"/>
      <c r="B250" s="50"/>
      <c r="D250" s="51"/>
    </row>
    <row r="251" spans="1:4" ht="13.2">
      <c r="A251" s="82"/>
      <c r="B251" s="50"/>
      <c r="D251" s="51"/>
    </row>
    <row r="252" spans="1:4" ht="13.2">
      <c r="A252" s="82"/>
      <c r="B252" s="50"/>
      <c r="D252" s="51"/>
    </row>
    <row r="253" spans="1:4" ht="13.2">
      <c r="A253" s="82"/>
      <c r="B253" s="50"/>
      <c r="D253" s="51"/>
    </row>
    <row r="254" spans="1:4" ht="13.2">
      <c r="A254" s="82"/>
      <c r="B254" s="50"/>
      <c r="D254" s="51"/>
    </row>
    <row r="255" spans="1:4" ht="13.2">
      <c r="A255" s="82"/>
      <c r="B255" s="50"/>
      <c r="D255" s="51"/>
    </row>
    <row r="256" spans="1:4" ht="13.2">
      <c r="A256" s="82"/>
      <c r="B256" s="50"/>
      <c r="D256" s="51"/>
    </row>
    <row r="257" spans="1:4" ht="13.2">
      <c r="A257" s="82"/>
      <c r="B257" s="50"/>
      <c r="D257" s="51"/>
    </row>
    <row r="258" spans="1:4" ht="13.2">
      <c r="A258" s="82"/>
      <c r="B258" s="50"/>
      <c r="D258" s="51"/>
    </row>
    <row r="259" spans="1:4" ht="13.2">
      <c r="A259" s="82"/>
      <c r="B259" s="50"/>
      <c r="D259" s="51"/>
    </row>
    <row r="260" spans="1:4" ht="13.2">
      <c r="A260" s="82"/>
      <c r="B260" s="50"/>
      <c r="D260" s="51"/>
    </row>
    <row r="261" spans="1:4" ht="13.2">
      <c r="A261" s="82"/>
      <c r="B261" s="50"/>
      <c r="D261" s="51"/>
    </row>
    <row r="262" spans="1:4" ht="13.2">
      <c r="A262" s="82"/>
      <c r="B262" s="50"/>
      <c r="D262" s="51"/>
    </row>
    <row r="263" spans="1:4" ht="13.2">
      <c r="A263" s="82"/>
      <c r="B263" s="50"/>
      <c r="D263" s="51"/>
    </row>
    <row r="264" spans="1:4" ht="13.2">
      <c r="A264" s="82"/>
      <c r="B264" s="50"/>
      <c r="D264" s="51"/>
    </row>
    <row r="265" spans="1:4" ht="13.2">
      <c r="A265" s="82"/>
      <c r="B265" s="50"/>
      <c r="D265" s="51"/>
    </row>
    <row r="266" spans="1:4" ht="13.2">
      <c r="A266" s="82"/>
      <c r="B266" s="50"/>
      <c r="D266" s="51"/>
    </row>
    <row r="267" spans="1:4" ht="13.2">
      <c r="A267" s="82"/>
      <c r="B267" s="50"/>
      <c r="D267" s="51"/>
    </row>
    <row r="268" spans="1:4" ht="13.2">
      <c r="A268" s="82"/>
      <c r="B268" s="50"/>
      <c r="D268" s="51"/>
    </row>
    <row r="269" spans="1:4" ht="13.2">
      <c r="A269" s="82"/>
      <c r="B269" s="50"/>
      <c r="D269" s="51"/>
    </row>
    <row r="270" spans="1:4" ht="13.2">
      <c r="A270" s="82"/>
      <c r="B270" s="50"/>
      <c r="D270" s="51"/>
    </row>
    <row r="271" spans="1:4" ht="13.2">
      <c r="A271" s="82"/>
      <c r="B271" s="50"/>
      <c r="D271" s="51"/>
    </row>
    <row r="272" spans="1:4" ht="13.2">
      <c r="A272" s="82"/>
      <c r="B272" s="50"/>
      <c r="D272" s="51"/>
    </row>
    <row r="273" spans="1:4" ht="13.2">
      <c r="A273" s="82"/>
      <c r="B273" s="50"/>
      <c r="D273" s="51"/>
    </row>
    <row r="274" spans="1:4" ht="13.2">
      <c r="A274" s="82"/>
      <c r="B274" s="50"/>
      <c r="D274" s="51"/>
    </row>
    <row r="275" spans="1:4" ht="13.2">
      <c r="A275" s="82"/>
      <c r="B275" s="50"/>
      <c r="D275" s="51"/>
    </row>
    <row r="276" spans="1:4" ht="13.2">
      <c r="A276" s="82"/>
      <c r="B276" s="50"/>
      <c r="D276" s="51"/>
    </row>
    <row r="277" spans="1:4" ht="13.2">
      <c r="A277" s="82"/>
      <c r="B277" s="50"/>
      <c r="D277" s="51"/>
    </row>
    <row r="278" spans="1:4" ht="13.2">
      <c r="A278" s="82"/>
      <c r="B278" s="50"/>
      <c r="D278" s="51"/>
    </row>
    <row r="279" spans="1:4" ht="13.2">
      <c r="A279" s="82"/>
      <c r="B279" s="50"/>
      <c r="D279" s="51"/>
    </row>
    <row r="280" spans="1:4" ht="13.2">
      <c r="A280" s="82"/>
      <c r="B280" s="50"/>
      <c r="D280" s="51"/>
    </row>
    <row r="281" spans="1:4" ht="13.2">
      <c r="A281" s="82"/>
      <c r="B281" s="50"/>
      <c r="D281" s="51"/>
    </row>
    <row r="282" spans="1:4" ht="13.2">
      <c r="A282" s="82"/>
      <c r="B282" s="50"/>
      <c r="D282" s="51"/>
    </row>
    <row r="283" spans="1:4" ht="13.2">
      <c r="A283" s="82"/>
      <c r="B283" s="50"/>
      <c r="D283" s="51"/>
    </row>
    <row r="284" spans="1:4" ht="13.2">
      <c r="A284" s="82"/>
      <c r="B284" s="50"/>
      <c r="D284" s="51"/>
    </row>
    <row r="285" spans="1:4" ht="13.2">
      <c r="A285" s="82"/>
      <c r="B285" s="50"/>
      <c r="D285" s="51"/>
    </row>
    <row r="286" spans="1:4" ht="13.2">
      <c r="A286" s="82"/>
      <c r="B286" s="50"/>
      <c r="D286" s="51"/>
    </row>
    <row r="287" spans="1:4" ht="13.2">
      <c r="A287" s="82"/>
      <c r="B287" s="50"/>
      <c r="D287" s="51"/>
    </row>
    <row r="288" spans="1:4" ht="13.2">
      <c r="A288" s="82"/>
      <c r="B288" s="50"/>
      <c r="D288" s="51"/>
    </row>
    <row r="289" spans="1:4" ht="13.2">
      <c r="A289" s="82"/>
      <c r="B289" s="50"/>
      <c r="D289" s="51"/>
    </row>
    <row r="290" spans="1:4" ht="13.2">
      <c r="A290" s="82"/>
      <c r="B290" s="50"/>
      <c r="D290" s="51"/>
    </row>
    <row r="291" spans="1:4" ht="13.2">
      <c r="A291" s="82"/>
      <c r="B291" s="50"/>
      <c r="D291" s="51"/>
    </row>
    <row r="292" spans="1:4" ht="13.2">
      <c r="A292" s="82"/>
      <c r="B292" s="50"/>
      <c r="D292" s="51"/>
    </row>
    <row r="293" spans="1:4" ht="13.2">
      <c r="A293" s="82"/>
      <c r="B293" s="50"/>
      <c r="D293" s="51"/>
    </row>
    <row r="294" spans="1:4" ht="13.2">
      <c r="A294" s="82"/>
      <c r="B294" s="50"/>
      <c r="D294" s="51"/>
    </row>
    <row r="295" spans="1:4" ht="13.2">
      <c r="A295" s="82"/>
      <c r="B295" s="50"/>
      <c r="D295" s="51"/>
    </row>
    <row r="296" spans="1:4" ht="13.2">
      <c r="A296" s="82"/>
      <c r="B296" s="50"/>
      <c r="D296" s="51"/>
    </row>
    <row r="297" spans="1:4" ht="13.2">
      <c r="A297" s="82"/>
      <c r="B297" s="50"/>
      <c r="D297" s="51"/>
    </row>
    <row r="298" spans="1:4" ht="13.2">
      <c r="A298" s="82"/>
      <c r="B298" s="50"/>
      <c r="D298" s="51"/>
    </row>
    <row r="299" spans="1:4" ht="13.2">
      <c r="A299" s="82"/>
      <c r="B299" s="50"/>
      <c r="D299" s="51"/>
    </row>
    <row r="300" spans="1:4" ht="13.2">
      <c r="A300" s="82"/>
      <c r="B300" s="50"/>
      <c r="D300" s="51"/>
    </row>
    <row r="301" spans="1:4" ht="13.2">
      <c r="A301" s="82"/>
      <c r="B301" s="50"/>
      <c r="D301" s="51"/>
    </row>
    <row r="302" spans="1:4" ht="13.2">
      <c r="A302" s="82"/>
      <c r="B302" s="50"/>
      <c r="D302" s="51"/>
    </row>
    <row r="303" spans="1:4" ht="13.2">
      <c r="A303" s="82"/>
      <c r="B303" s="50"/>
      <c r="D303" s="51"/>
    </row>
    <row r="304" spans="1:4" ht="13.2">
      <c r="A304" s="82"/>
      <c r="B304" s="50"/>
      <c r="D304" s="51"/>
    </row>
    <row r="305" spans="1:4" ht="13.2">
      <c r="A305" s="82"/>
      <c r="B305" s="50"/>
      <c r="D305" s="51"/>
    </row>
    <row r="306" spans="1:4" ht="13.2">
      <c r="A306" s="82"/>
      <c r="B306" s="50"/>
      <c r="D306" s="51"/>
    </row>
    <row r="307" spans="1:4" ht="13.2">
      <c r="A307" s="82"/>
      <c r="B307" s="50"/>
      <c r="D307" s="51"/>
    </row>
    <row r="308" spans="1:4" ht="13.2">
      <c r="A308" s="82"/>
      <c r="B308" s="50"/>
      <c r="D308" s="51"/>
    </row>
    <row r="309" spans="1:4" ht="13.2">
      <c r="A309" s="82"/>
      <c r="B309" s="50"/>
      <c r="D309" s="51"/>
    </row>
    <row r="310" spans="1:4" ht="13.2">
      <c r="A310" s="82"/>
      <c r="B310" s="50"/>
      <c r="D310" s="51"/>
    </row>
    <row r="311" spans="1:4" ht="13.2">
      <c r="A311" s="82"/>
      <c r="B311" s="50"/>
      <c r="D311" s="51"/>
    </row>
    <row r="312" spans="1:4" ht="13.2">
      <c r="A312" s="82"/>
      <c r="B312" s="50"/>
      <c r="D312" s="51"/>
    </row>
    <row r="313" spans="1:4" ht="13.2">
      <c r="A313" s="82"/>
      <c r="B313" s="50"/>
      <c r="D313" s="51"/>
    </row>
    <row r="314" spans="1:4" ht="13.2">
      <c r="A314" s="82"/>
      <c r="B314" s="50"/>
      <c r="D314" s="51"/>
    </row>
    <row r="315" spans="1:4" ht="13.2">
      <c r="A315" s="82"/>
      <c r="B315" s="50"/>
      <c r="D315" s="51"/>
    </row>
    <row r="316" spans="1:4" ht="13.2">
      <c r="A316" s="82"/>
      <c r="B316" s="50"/>
      <c r="D316" s="51"/>
    </row>
    <row r="317" spans="1:4" ht="13.2">
      <c r="A317" s="82"/>
      <c r="B317" s="50"/>
      <c r="D317" s="51"/>
    </row>
    <row r="318" spans="1:4" ht="13.2">
      <c r="A318" s="82"/>
      <c r="B318" s="50"/>
      <c r="D318" s="51"/>
    </row>
    <row r="319" spans="1:4" ht="13.2">
      <c r="A319" s="82"/>
      <c r="B319" s="50"/>
      <c r="D319" s="51"/>
    </row>
    <row r="320" spans="1:4" ht="13.2">
      <c r="A320" s="82"/>
      <c r="B320" s="50"/>
      <c r="D320" s="51"/>
    </row>
    <row r="321" spans="1:4" ht="13.2">
      <c r="A321" s="82"/>
      <c r="B321" s="50"/>
      <c r="D321" s="51"/>
    </row>
    <row r="322" spans="1:4" ht="13.2">
      <c r="A322" s="82"/>
      <c r="B322" s="50"/>
      <c r="D322" s="51"/>
    </row>
    <row r="323" spans="1:4" ht="13.2">
      <c r="A323" s="82"/>
      <c r="B323" s="50"/>
      <c r="D323" s="51"/>
    </row>
    <row r="324" spans="1:4" ht="13.2">
      <c r="A324" s="82"/>
      <c r="B324" s="50"/>
      <c r="D324" s="51"/>
    </row>
    <row r="325" spans="1:4" ht="13.2">
      <c r="A325" s="82"/>
      <c r="B325" s="50"/>
      <c r="D325" s="51"/>
    </row>
    <row r="326" spans="1:4" ht="13.2">
      <c r="A326" s="82"/>
      <c r="B326" s="50"/>
      <c r="D326" s="51"/>
    </row>
    <row r="327" spans="1:4" ht="13.2">
      <c r="A327" s="82"/>
      <c r="B327" s="50"/>
      <c r="D327" s="51"/>
    </row>
    <row r="328" spans="1:4" ht="13.2">
      <c r="A328" s="82"/>
      <c r="B328" s="50"/>
      <c r="D328" s="51"/>
    </row>
    <row r="329" spans="1:4" ht="13.2">
      <c r="A329" s="82"/>
      <c r="B329" s="50"/>
      <c r="D329" s="51"/>
    </row>
    <row r="330" spans="1:4" ht="13.2">
      <c r="A330" s="82"/>
      <c r="B330" s="50"/>
      <c r="D330" s="51"/>
    </row>
    <row r="331" spans="1:4" ht="13.2">
      <c r="A331" s="82"/>
      <c r="B331" s="50"/>
      <c r="D331" s="51"/>
    </row>
    <row r="332" spans="1:4" ht="13.2">
      <c r="A332" s="82"/>
      <c r="B332" s="50"/>
      <c r="D332" s="51"/>
    </row>
    <row r="333" spans="1:4" ht="13.2">
      <c r="A333" s="82"/>
      <c r="B333" s="50"/>
      <c r="D333" s="51"/>
    </row>
    <row r="334" spans="1:4" ht="13.2">
      <c r="A334" s="82"/>
      <c r="B334" s="50"/>
      <c r="D334" s="51"/>
    </row>
    <row r="335" spans="1:4" ht="13.2">
      <c r="A335" s="82"/>
      <c r="B335" s="50"/>
      <c r="D335" s="51"/>
    </row>
    <row r="336" spans="1:4" ht="13.2">
      <c r="A336" s="82"/>
      <c r="B336" s="50"/>
      <c r="D336" s="51"/>
    </row>
    <row r="337" spans="1:4" ht="13.2">
      <c r="A337" s="82"/>
      <c r="B337" s="50"/>
      <c r="D337" s="51"/>
    </row>
    <row r="338" spans="1:4" ht="13.2">
      <c r="A338" s="82"/>
      <c r="B338" s="50"/>
      <c r="D338" s="51"/>
    </row>
    <row r="339" spans="1:4" ht="13.2">
      <c r="A339" s="82"/>
      <c r="B339" s="50"/>
      <c r="D339" s="51"/>
    </row>
    <row r="340" spans="1:4" ht="13.2">
      <c r="A340" s="82"/>
      <c r="B340" s="50"/>
      <c r="D340" s="51"/>
    </row>
    <row r="341" spans="1:4" ht="13.2">
      <c r="A341" s="82"/>
      <c r="B341" s="50"/>
      <c r="D341" s="51"/>
    </row>
    <row r="342" spans="1:4" ht="13.2">
      <c r="A342" s="82"/>
      <c r="B342" s="50"/>
      <c r="D342" s="51"/>
    </row>
    <row r="343" spans="1:4" ht="13.2">
      <c r="A343" s="82"/>
      <c r="B343" s="50"/>
      <c r="D343" s="51"/>
    </row>
    <row r="344" spans="1:4" ht="13.2">
      <c r="A344" s="82"/>
      <c r="B344" s="50"/>
      <c r="D344" s="51"/>
    </row>
    <row r="345" spans="1:4" ht="13.2">
      <c r="A345" s="82"/>
      <c r="B345" s="50"/>
      <c r="D345" s="51"/>
    </row>
    <row r="346" spans="1:4" ht="13.2">
      <c r="A346" s="82"/>
      <c r="B346" s="50"/>
      <c r="D346" s="51"/>
    </row>
    <row r="347" spans="1:4" ht="13.2">
      <c r="A347" s="82"/>
      <c r="B347" s="50"/>
      <c r="D347" s="51"/>
    </row>
    <row r="348" spans="1:4" ht="13.2">
      <c r="A348" s="82"/>
      <c r="B348" s="50"/>
      <c r="D348" s="51"/>
    </row>
    <row r="349" spans="1:4" ht="13.2">
      <c r="A349" s="82"/>
      <c r="B349" s="50"/>
      <c r="D349" s="51"/>
    </row>
    <row r="350" spans="1:4" ht="13.2">
      <c r="A350" s="82"/>
      <c r="B350" s="50"/>
      <c r="D350" s="51"/>
    </row>
    <row r="351" spans="1:4" ht="13.2">
      <c r="A351" s="82"/>
      <c r="B351" s="50"/>
      <c r="D351" s="51"/>
    </row>
    <row r="352" spans="1:4" ht="13.2">
      <c r="A352" s="82"/>
      <c r="B352" s="50"/>
      <c r="D352" s="51"/>
    </row>
    <row r="353" spans="1:4" ht="13.2">
      <c r="A353" s="82"/>
      <c r="B353" s="50"/>
      <c r="D353" s="51"/>
    </row>
    <row r="354" spans="1:4" ht="13.2">
      <c r="A354" s="82"/>
      <c r="B354" s="50"/>
      <c r="D354" s="51"/>
    </row>
    <row r="355" spans="1:4" ht="13.2">
      <c r="A355" s="82"/>
      <c r="B355" s="50"/>
      <c r="D355" s="51"/>
    </row>
    <row r="356" spans="1:4" ht="13.2">
      <c r="A356" s="82"/>
      <c r="B356" s="50"/>
      <c r="D356" s="51"/>
    </row>
    <row r="357" spans="1:4" ht="13.2">
      <c r="A357" s="82"/>
      <c r="B357" s="50"/>
      <c r="D357" s="51"/>
    </row>
    <row r="358" spans="1:4" ht="13.2">
      <c r="A358" s="82"/>
      <c r="B358" s="50"/>
      <c r="D358" s="51"/>
    </row>
    <row r="359" spans="1:4" ht="13.2">
      <c r="A359" s="82"/>
      <c r="B359" s="50"/>
      <c r="D359" s="51"/>
    </row>
    <row r="360" spans="1:4" ht="13.2">
      <c r="A360" s="82"/>
      <c r="B360" s="50"/>
      <c r="D360" s="51"/>
    </row>
    <row r="361" spans="1:4" ht="13.2">
      <c r="A361" s="82"/>
      <c r="B361" s="50"/>
      <c r="D361" s="51"/>
    </row>
    <row r="362" spans="1:4" ht="13.2">
      <c r="A362" s="82"/>
      <c r="B362" s="50"/>
      <c r="D362" s="51"/>
    </row>
    <row r="363" spans="1:4" ht="13.2">
      <c r="A363" s="82"/>
      <c r="B363" s="50"/>
      <c r="D363" s="51"/>
    </row>
    <row r="364" spans="1:4" ht="13.2">
      <c r="A364" s="82"/>
      <c r="B364" s="50"/>
      <c r="D364" s="51"/>
    </row>
    <row r="365" spans="1:4" ht="13.2">
      <c r="A365" s="82"/>
      <c r="B365" s="50"/>
      <c r="D365" s="51"/>
    </row>
    <row r="366" spans="1:4" ht="13.2">
      <c r="A366" s="82"/>
      <c r="B366" s="50"/>
      <c r="D366" s="51"/>
    </row>
    <row r="367" spans="1:4" ht="13.2">
      <c r="A367" s="82"/>
      <c r="B367" s="50"/>
      <c r="D367" s="51"/>
    </row>
    <row r="368" spans="1:4" ht="13.2">
      <c r="A368" s="82"/>
      <c r="B368" s="50"/>
      <c r="D368" s="51"/>
    </row>
    <row r="369" spans="1:4" ht="13.2">
      <c r="A369" s="82"/>
      <c r="B369" s="50"/>
      <c r="D369" s="51"/>
    </row>
    <row r="370" spans="1:4" ht="13.2">
      <c r="A370" s="82"/>
      <c r="B370" s="50"/>
      <c r="D370" s="51"/>
    </row>
    <row r="371" spans="1:4" ht="13.2">
      <c r="A371" s="82"/>
      <c r="B371" s="50"/>
      <c r="D371" s="51"/>
    </row>
    <row r="372" spans="1:4" ht="13.2">
      <c r="A372" s="82"/>
      <c r="B372" s="50"/>
      <c r="D372" s="51"/>
    </row>
    <row r="373" spans="1:4" ht="13.2">
      <c r="A373" s="82"/>
      <c r="B373" s="50"/>
      <c r="D373" s="51"/>
    </row>
    <row r="374" spans="1:4" ht="13.2">
      <c r="A374" s="82"/>
      <c r="B374" s="50"/>
      <c r="D374" s="51"/>
    </row>
    <row r="375" spans="1:4" ht="13.2">
      <c r="A375" s="82"/>
      <c r="B375" s="50"/>
      <c r="D375" s="51"/>
    </row>
    <row r="376" spans="1:4" ht="13.2">
      <c r="A376" s="82"/>
      <c r="B376" s="50"/>
      <c r="D376" s="51"/>
    </row>
    <row r="377" spans="1:4" ht="13.2">
      <c r="A377" s="82"/>
      <c r="B377" s="50"/>
      <c r="D377" s="51"/>
    </row>
    <row r="378" spans="1:4" ht="13.2">
      <c r="A378" s="82"/>
      <c r="B378" s="50"/>
      <c r="D378" s="51"/>
    </row>
    <row r="379" spans="1:4" ht="13.2">
      <c r="A379" s="82"/>
      <c r="B379" s="50"/>
      <c r="D379" s="51"/>
    </row>
    <row r="380" spans="1:4" ht="13.2">
      <c r="A380" s="82"/>
      <c r="B380" s="50"/>
      <c r="D380" s="51"/>
    </row>
    <row r="381" spans="1:4" ht="13.2">
      <c r="A381" s="82"/>
      <c r="B381" s="50"/>
      <c r="D381" s="51"/>
    </row>
    <row r="382" spans="1:4" ht="13.2">
      <c r="A382" s="82"/>
      <c r="B382" s="50"/>
      <c r="D382" s="51"/>
    </row>
    <row r="383" spans="1:4" ht="13.2">
      <c r="A383" s="82"/>
      <c r="B383" s="50"/>
      <c r="D383" s="51"/>
    </row>
    <row r="384" spans="1:4" ht="13.2">
      <c r="A384" s="82"/>
      <c r="B384" s="50"/>
      <c r="D384" s="51"/>
    </row>
    <row r="385" spans="1:4" ht="13.2">
      <c r="A385" s="82"/>
      <c r="B385" s="50"/>
      <c r="D385" s="51"/>
    </row>
    <row r="386" spans="1:4" ht="13.2">
      <c r="A386" s="82"/>
      <c r="B386" s="50"/>
      <c r="D386" s="51"/>
    </row>
    <row r="387" spans="1:4" ht="13.2">
      <c r="A387" s="82"/>
      <c r="B387" s="50"/>
      <c r="D387" s="51"/>
    </row>
    <row r="388" spans="1:4" ht="13.2">
      <c r="A388" s="82"/>
      <c r="B388" s="50"/>
      <c r="D388" s="51"/>
    </row>
    <row r="389" spans="1:4" ht="13.2">
      <c r="A389" s="82"/>
      <c r="B389" s="50"/>
      <c r="D389" s="51"/>
    </row>
    <row r="390" spans="1:4" ht="13.2">
      <c r="A390" s="82"/>
      <c r="B390" s="50"/>
      <c r="D390" s="51"/>
    </row>
    <row r="391" spans="1:4" ht="13.2">
      <c r="A391" s="82"/>
      <c r="B391" s="50"/>
      <c r="D391" s="51"/>
    </row>
    <row r="392" spans="1:4" ht="13.2">
      <c r="A392" s="82"/>
      <c r="B392" s="50"/>
      <c r="D392" s="51"/>
    </row>
    <row r="393" spans="1:4" ht="13.2">
      <c r="A393" s="82"/>
      <c r="B393" s="50"/>
      <c r="D393" s="51"/>
    </row>
    <row r="394" spans="1:4" ht="13.2">
      <c r="A394" s="82"/>
      <c r="B394" s="50"/>
      <c r="D394" s="51"/>
    </row>
    <row r="395" spans="1:4" ht="13.2">
      <c r="A395" s="82"/>
      <c r="B395" s="50"/>
      <c r="D395" s="51"/>
    </row>
    <row r="396" spans="1:4" ht="13.2">
      <c r="A396" s="82"/>
      <c r="B396" s="50"/>
      <c r="D396" s="51"/>
    </row>
    <row r="397" spans="1:4" ht="13.2">
      <c r="A397" s="82"/>
      <c r="B397" s="50"/>
      <c r="D397" s="51"/>
    </row>
    <row r="398" spans="1:4" ht="13.2">
      <c r="A398" s="82"/>
      <c r="B398" s="50"/>
      <c r="D398" s="51"/>
    </row>
    <row r="399" spans="1:4" ht="13.2">
      <c r="A399" s="82"/>
      <c r="B399" s="50"/>
      <c r="D399" s="51"/>
    </row>
    <row r="400" spans="1:4" ht="13.2">
      <c r="A400" s="82"/>
      <c r="B400" s="50"/>
      <c r="D400" s="51"/>
    </row>
    <row r="401" spans="1:4" ht="13.2">
      <c r="A401" s="82"/>
      <c r="B401" s="50"/>
      <c r="D401" s="51"/>
    </row>
    <row r="402" spans="1:4" ht="13.2">
      <c r="A402" s="82"/>
      <c r="B402" s="50"/>
      <c r="D402" s="51"/>
    </row>
    <row r="403" spans="1:4" ht="13.2">
      <c r="A403" s="82"/>
      <c r="B403" s="50"/>
      <c r="D403" s="51"/>
    </row>
    <row r="404" spans="1:4" ht="13.2">
      <c r="A404" s="82"/>
      <c r="B404" s="50"/>
      <c r="D404" s="51"/>
    </row>
    <row r="405" spans="1:4" ht="13.2">
      <c r="A405" s="82"/>
      <c r="B405" s="50"/>
      <c r="D405" s="51"/>
    </row>
    <row r="406" spans="1:4" ht="13.2">
      <c r="A406" s="82"/>
      <c r="B406" s="50"/>
      <c r="D406" s="51"/>
    </row>
    <row r="407" spans="1:4" ht="13.2">
      <c r="A407" s="82"/>
      <c r="B407" s="50"/>
      <c r="D407" s="51"/>
    </row>
    <row r="408" spans="1:4" ht="13.2">
      <c r="A408" s="82"/>
      <c r="B408" s="50"/>
      <c r="D408" s="51"/>
    </row>
    <row r="409" spans="1:4" ht="13.2">
      <c r="A409" s="82"/>
      <c r="B409" s="50"/>
      <c r="D409" s="51"/>
    </row>
    <row r="410" spans="1:4" ht="13.2">
      <c r="A410" s="82"/>
      <c r="B410" s="50"/>
      <c r="D410" s="51"/>
    </row>
    <row r="411" spans="1:4" ht="13.2">
      <c r="A411" s="82"/>
      <c r="B411" s="50"/>
      <c r="D411" s="51"/>
    </row>
    <row r="412" spans="1:4" ht="13.2">
      <c r="A412" s="82"/>
      <c r="B412" s="50"/>
      <c r="D412" s="51"/>
    </row>
    <row r="413" spans="1:4" ht="13.2">
      <c r="A413" s="82"/>
      <c r="B413" s="50"/>
      <c r="D413" s="51"/>
    </row>
    <row r="414" spans="1:4" ht="13.2">
      <c r="A414" s="82"/>
      <c r="B414" s="50"/>
      <c r="D414" s="51"/>
    </row>
    <row r="415" spans="1:4" ht="13.2">
      <c r="A415" s="82"/>
      <c r="B415" s="50"/>
      <c r="D415" s="51"/>
    </row>
    <row r="416" spans="1:4" ht="13.2">
      <c r="A416" s="82"/>
      <c r="B416" s="50"/>
      <c r="D416" s="51"/>
    </row>
    <row r="417" spans="1:4" ht="13.2">
      <c r="A417" s="82"/>
      <c r="B417" s="50"/>
      <c r="D417" s="51"/>
    </row>
    <row r="418" spans="1:4" ht="13.2">
      <c r="A418" s="82"/>
      <c r="B418" s="50"/>
      <c r="D418" s="51"/>
    </row>
    <row r="419" spans="1:4" ht="13.2">
      <c r="A419" s="82"/>
      <c r="B419" s="50"/>
      <c r="D419" s="51"/>
    </row>
    <row r="420" spans="1:4" ht="13.2">
      <c r="A420" s="82"/>
      <c r="B420" s="50"/>
      <c r="D420" s="51"/>
    </row>
    <row r="421" spans="1:4" ht="13.2">
      <c r="A421" s="82"/>
      <c r="B421" s="50"/>
      <c r="D421" s="51"/>
    </row>
    <row r="422" spans="1:4" ht="13.2">
      <c r="A422" s="82"/>
      <c r="B422" s="50"/>
      <c r="D422" s="51"/>
    </row>
    <row r="423" spans="1:4" ht="13.2">
      <c r="A423" s="82"/>
      <c r="B423" s="50"/>
      <c r="D423" s="51"/>
    </row>
    <row r="424" spans="1:4" ht="13.2">
      <c r="A424" s="82"/>
      <c r="B424" s="50"/>
      <c r="D424" s="51"/>
    </row>
    <row r="425" spans="1:4" ht="13.2">
      <c r="A425" s="82"/>
      <c r="B425" s="50"/>
      <c r="D425" s="51"/>
    </row>
    <row r="426" spans="1:4" ht="13.2">
      <c r="A426" s="82"/>
      <c r="B426" s="50"/>
      <c r="D426" s="51"/>
    </row>
    <row r="427" spans="1:4" ht="13.2">
      <c r="A427" s="82"/>
      <c r="B427" s="50"/>
      <c r="D427" s="51"/>
    </row>
    <row r="428" spans="1:4" ht="13.2">
      <c r="A428" s="82"/>
      <c r="B428" s="50"/>
      <c r="D428" s="51"/>
    </row>
    <row r="429" spans="1:4" ht="13.2">
      <c r="A429" s="82"/>
      <c r="B429" s="50"/>
      <c r="D429" s="51"/>
    </row>
    <row r="430" spans="1:4" ht="13.2">
      <c r="A430" s="82"/>
      <c r="B430" s="50"/>
      <c r="D430" s="51"/>
    </row>
    <row r="431" spans="1:4" ht="13.2">
      <c r="A431" s="82"/>
      <c r="B431" s="50"/>
      <c r="D431" s="51"/>
    </row>
    <row r="432" spans="1:4" ht="13.2">
      <c r="A432" s="82"/>
      <c r="B432" s="50"/>
      <c r="D432" s="51"/>
    </row>
    <row r="433" spans="1:4" ht="13.2">
      <c r="A433" s="82"/>
      <c r="B433" s="50"/>
      <c r="D433" s="51"/>
    </row>
    <row r="434" spans="1:4" ht="13.2">
      <c r="A434" s="82"/>
      <c r="B434" s="50"/>
      <c r="D434" s="51"/>
    </row>
    <row r="435" spans="1:4" ht="13.2">
      <c r="A435" s="82"/>
      <c r="B435" s="50"/>
      <c r="D435" s="51"/>
    </row>
    <row r="436" spans="1:4" ht="13.2">
      <c r="A436" s="82"/>
      <c r="B436" s="50"/>
      <c r="D436" s="51"/>
    </row>
    <row r="437" spans="1:4" ht="13.2">
      <c r="A437" s="82"/>
      <c r="B437" s="50"/>
      <c r="D437" s="51"/>
    </row>
    <row r="438" spans="1:4" ht="13.2">
      <c r="A438" s="82"/>
      <c r="B438" s="50"/>
      <c r="D438" s="51"/>
    </row>
    <row r="439" spans="1:4" ht="13.2">
      <c r="A439" s="82"/>
      <c r="B439" s="50"/>
      <c r="D439" s="51"/>
    </row>
    <row r="440" spans="1:4" ht="13.2">
      <c r="A440" s="82"/>
      <c r="B440" s="50"/>
      <c r="D440" s="51"/>
    </row>
    <row r="441" spans="1:4" ht="13.2">
      <c r="A441" s="82"/>
      <c r="B441" s="50"/>
      <c r="D441" s="51"/>
    </row>
    <row r="442" spans="1:4" ht="13.2">
      <c r="A442" s="82"/>
      <c r="B442" s="50"/>
      <c r="D442" s="51"/>
    </row>
    <row r="443" spans="1:4" ht="13.2">
      <c r="A443" s="82"/>
      <c r="B443" s="50"/>
      <c r="D443" s="51"/>
    </row>
    <row r="444" spans="1:4" ht="13.2">
      <c r="A444" s="82"/>
      <c r="B444" s="50"/>
      <c r="D444" s="51"/>
    </row>
    <row r="445" spans="1:4" ht="13.2">
      <c r="A445" s="82"/>
      <c r="B445" s="50"/>
      <c r="D445" s="51"/>
    </row>
    <row r="446" spans="1:4" ht="13.2">
      <c r="A446" s="82"/>
      <c r="B446" s="50"/>
      <c r="D446" s="51"/>
    </row>
    <row r="447" spans="1:4" ht="13.2">
      <c r="A447" s="82"/>
      <c r="B447" s="50"/>
      <c r="D447" s="51"/>
    </row>
    <row r="448" spans="1:4" ht="13.2">
      <c r="A448" s="82"/>
      <c r="B448" s="50"/>
      <c r="D448" s="51"/>
    </row>
    <row r="449" spans="1:4" ht="13.2">
      <c r="A449" s="82"/>
      <c r="B449" s="50"/>
      <c r="D449" s="51"/>
    </row>
    <row r="450" spans="1:4" ht="13.2">
      <c r="A450" s="82"/>
      <c r="B450" s="50"/>
      <c r="D450" s="51"/>
    </row>
    <row r="451" spans="1:4" ht="13.2">
      <c r="A451" s="82"/>
      <c r="B451" s="50"/>
      <c r="D451" s="51"/>
    </row>
    <row r="452" spans="1:4" ht="13.2">
      <c r="A452" s="82"/>
      <c r="B452" s="50"/>
      <c r="D452" s="51"/>
    </row>
    <row r="453" spans="1:4" ht="13.2">
      <c r="A453" s="82"/>
      <c r="B453" s="50"/>
      <c r="D453" s="51"/>
    </row>
    <row r="454" spans="1:4" ht="13.2">
      <c r="A454" s="82"/>
      <c r="B454" s="50"/>
      <c r="D454" s="51"/>
    </row>
    <row r="455" spans="1:4" ht="13.2">
      <c r="A455" s="82"/>
      <c r="B455" s="50"/>
      <c r="D455" s="51"/>
    </row>
    <row r="456" spans="1:4" ht="13.2">
      <c r="A456" s="82"/>
      <c r="B456" s="50"/>
      <c r="D456" s="51"/>
    </row>
    <row r="457" spans="1:4" ht="13.2">
      <c r="A457" s="82"/>
      <c r="B457" s="50"/>
      <c r="D457" s="51"/>
    </row>
    <row r="458" spans="1:4" ht="13.2">
      <c r="A458" s="82"/>
      <c r="B458" s="50"/>
      <c r="D458" s="51"/>
    </row>
    <row r="459" spans="1:4" ht="13.2">
      <c r="A459" s="82"/>
      <c r="B459" s="50"/>
      <c r="D459" s="51"/>
    </row>
    <row r="460" spans="1:4" ht="13.2">
      <c r="A460" s="82"/>
      <c r="B460" s="50"/>
      <c r="D460" s="51"/>
    </row>
    <row r="461" spans="1:4" ht="13.2">
      <c r="A461" s="82"/>
      <c r="B461" s="50"/>
      <c r="D461" s="51"/>
    </row>
    <row r="462" spans="1:4" ht="13.2">
      <c r="A462" s="82"/>
      <c r="B462" s="50"/>
      <c r="D462" s="51"/>
    </row>
    <row r="463" spans="1:4" ht="13.2">
      <c r="A463" s="82"/>
      <c r="B463" s="50"/>
      <c r="D463" s="51"/>
    </row>
    <row r="464" spans="1:4" ht="13.2">
      <c r="A464" s="82"/>
      <c r="B464" s="50"/>
      <c r="D464" s="51"/>
    </row>
    <row r="465" spans="1:4" ht="13.2">
      <c r="A465" s="82"/>
      <c r="B465" s="50"/>
      <c r="D465" s="51"/>
    </row>
    <row r="466" spans="1:4" ht="13.2">
      <c r="A466" s="82"/>
      <c r="B466" s="50"/>
      <c r="D466" s="51"/>
    </row>
    <row r="467" spans="1:4" ht="13.2">
      <c r="A467" s="82"/>
      <c r="B467" s="50"/>
      <c r="D467" s="51"/>
    </row>
    <row r="468" spans="1:4" ht="13.2">
      <c r="A468" s="82"/>
      <c r="B468" s="50"/>
      <c r="D468" s="51"/>
    </row>
    <row r="469" spans="1:4" ht="13.2">
      <c r="A469" s="82"/>
      <c r="B469" s="50"/>
      <c r="D469" s="51"/>
    </row>
    <row r="470" spans="1:4" ht="13.2">
      <c r="A470" s="82"/>
      <c r="B470" s="50"/>
      <c r="D470" s="51"/>
    </row>
    <row r="471" spans="1:4" ht="13.2">
      <c r="A471" s="82"/>
      <c r="B471" s="50"/>
      <c r="D471" s="51"/>
    </row>
    <row r="472" spans="1:4" ht="13.2">
      <c r="A472" s="82"/>
      <c r="B472" s="50"/>
      <c r="D472" s="51"/>
    </row>
    <row r="473" spans="1:4" ht="13.2">
      <c r="A473" s="82"/>
      <c r="B473" s="50"/>
      <c r="D473" s="51"/>
    </row>
    <row r="474" spans="1:4" ht="13.2">
      <c r="A474" s="82"/>
      <c r="B474" s="50"/>
      <c r="D474" s="51"/>
    </row>
    <row r="475" spans="1:4" ht="13.2">
      <c r="A475" s="82"/>
      <c r="B475" s="50"/>
      <c r="D475" s="51"/>
    </row>
    <row r="476" spans="1:4" ht="13.2">
      <c r="A476" s="82"/>
      <c r="B476" s="50"/>
      <c r="D476" s="51"/>
    </row>
    <row r="477" spans="1:4" ht="13.2">
      <c r="A477" s="82"/>
      <c r="B477" s="50"/>
      <c r="D477" s="51"/>
    </row>
    <row r="478" spans="1:4" ht="13.2">
      <c r="A478" s="82"/>
      <c r="B478" s="50"/>
      <c r="D478" s="51"/>
    </row>
    <row r="479" spans="1:4" ht="13.2">
      <c r="A479" s="82"/>
      <c r="B479" s="50"/>
      <c r="D479" s="51"/>
    </row>
    <row r="480" spans="1:4" ht="13.2">
      <c r="A480" s="82"/>
      <c r="B480" s="50"/>
      <c r="D480" s="51"/>
    </row>
    <row r="481" spans="1:4" ht="13.2">
      <c r="A481" s="82"/>
      <c r="B481" s="50"/>
      <c r="D481" s="51"/>
    </row>
    <row r="482" spans="1:4" ht="13.2">
      <c r="A482" s="82"/>
      <c r="B482" s="50"/>
      <c r="D482" s="51"/>
    </row>
    <row r="483" spans="1:4" ht="13.2">
      <c r="A483" s="82"/>
      <c r="B483" s="50"/>
      <c r="D483" s="51"/>
    </row>
    <row r="484" spans="1:4" ht="13.2">
      <c r="A484" s="82"/>
      <c r="B484" s="50"/>
      <c r="D484" s="51"/>
    </row>
    <row r="485" spans="1:4" ht="13.2">
      <c r="A485" s="82"/>
      <c r="B485" s="50"/>
      <c r="D485" s="51"/>
    </row>
    <row r="486" spans="1:4" ht="13.2">
      <c r="A486" s="82"/>
      <c r="B486" s="50"/>
      <c r="D486" s="51"/>
    </row>
    <row r="487" spans="1:4" ht="13.2">
      <c r="A487" s="82"/>
      <c r="B487" s="50"/>
      <c r="D487" s="51"/>
    </row>
    <row r="488" spans="1:4" ht="13.2">
      <c r="A488" s="82"/>
      <c r="B488" s="50"/>
      <c r="D488" s="51"/>
    </row>
    <row r="489" spans="1:4" ht="13.2">
      <c r="A489" s="82"/>
      <c r="B489" s="50"/>
      <c r="D489" s="51"/>
    </row>
    <row r="490" spans="1:4" ht="13.2">
      <c r="A490" s="82"/>
      <c r="B490" s="50"/>
      <c r="D490" s="51"/>
    </row>
    <row r="491" spans="1:4" ht="13.2">
      <c r="A491" s="82"/>
      <c r="B491" s="50"/>
      <c r="D491" s="51"/>
    </row>
    <row r="492" spans="1:4" ht="13.2">
      <c r="A492" s="82"/>
      <c r="B492" s="50"/>
      <c r="D492" s="51"/>
    </row>
    <row r="493" spans="1:4" ht="13.2">
      <c r="A493" s="82"/>
      <c r="B493" s="50"/>
      <c r="D493" s="51"/>
    </row>
    <row r="494" spans="1:4" ht="13.2">
      <c r="A494" s="82"/>
      <c r="B494" s="50"/>
      <c r="D494" s="51"/>
    </row>
    <row r="495" spans="1:4" ht="13.2">
      <c r="A495" s="82"/>
      <c r="B495" s="50"/>
      <c r="D495" s="51"/>
    </row>
    <row r="496" spans="1:4" ht="13.2">
      <c r="A496" s="82"/>
      <c r="B496" s="50"/>
      <c r="D496" s="51"/>
    </row>
    <row r="497" spans="1:4" ht="13.2">
      <c r="A497" s="82"/>
      <c r="B497" s="50"/>
      <c r="D497" s="51"/>
    </row>
    <row r="498" spans="1:4" ht="13.2">
      <c r="A498" s="82"/>
      <c r="B498" s="50"/>
      <c r="D498" s="51"/>
    </row>
    <row r="499" spans="1:4" ht="13.2">
      <c r="A499" s="82"/>
      <c r="B499" s="50"/>
      <c r="D499" s="51"/>
    </row>
    <row r="500" spans="1:4" ht="13.2">
      <c r="A500" s="82"/>
      <c r="B500" s="50"/>
      <c r="D500" s="51"/>
    </row>
    <row r="501" spans="1:4" ht="13.2">
      <c r="A501" s="82"/>
      <c r="B501" s="50"/>
      <c r="D501" s="51"/>
    </row>
    <row r="502" spans="1:4" ht="13.2">
      <c r="A502" s="82"/>
      <c r="B502" s="50"/>
      <c r="D502" s="51"/>
    </row>
    <row r="503" spans="1:4" ht="13.2">
      <c r="A503" s="82"/>
      <c r="B503" s="50"/>
      <c r="D503" s="51"/>
    </row>
    <row r="504" spans="1:4" ht="13.2">
      <c r="A504" s="82"/>
      <c r="B504" s="50"/>
      <c r="D504" s="51"/>
    </row>
    <row r="505" spans="1:4" ht="13.2">
      <c r="A505" s="82"/>
      <c r="B505" s="50"/>
      <c r="D505" s="51"/>
    </row>
    <row r="506" spans="1:4" ht="13.2">
      <c r="A506" s="82"/>
      <c r="B506" s="50"/>
      <c r="D506" s="51"/>
    </row>
    <row r="507" spans="1:4" ht="13.2">
      <c r="A507" s="82"/>
      <c r="B507" s="50"/>
      <c r="D507" s="51"/>
    </row>
    <row r="508" spans="1:4" ht="13.2">
      <c r="A508" s="82"/>
      <c r="B508" s="50"/>
      <c r="D508" s="51"/>
    </row>
    <row r="509" spans="1:4" ht="13.2">
      <c r="A509" s="82"/>
      <c r="B509" s="50"/>
      <c r="D509" s="51"/>
    </row>
    <row r="510" spans="1:4" ht="13.2">
      <c r="A510" s="82"/>
      <c r="B510" s="50"/>
      <c r="D510" s="51"/>
    </row>
    <row r="511" spans="1:4" ht="13.2">
      <c r="A511" s="82"/>
      <c r="B511" s="50"/>
      <c r="D511" s="51"/>
    </row>
    <row r="512" spans="1:4" ht="13.2">
      <c r="A512" s="82"/>
      <c r="B512" s="50"/>
      <c r="D512" s="51"/>
    </row>
    <row r="513" spans="1:4" ht="13.2">
      <c r="A513" s="82"/>
      <c r="B513" s="50"/>
      <c r="D513" s="51"/>
    </row>
    <row r="514" spans="1:4" ht="13.2">
      <c r="A514" s="82"/>
      <c r="B514" s="50"/>
      <c r="D514" s="51"/>
    </row>
    <row r="515" spans="1:4" ht="13.2">
      <c r="A515" s="82"/>
      <c r="B515" s="50"/>
      <c r="D515" s="51"/>
    </row>
    <row r="516" spans="1:4" ht="13.2">
      <c r="A516" s="82"/>
      <c r="B516" s="50"/>
      <c r="D516" s="51"/>
    </row>
    <row r="517" spans="1:4" ht="13.2">
      <c r="A517" s="82"/>
      <c r="B517" s="50"/>
      <c r="D517" s="51"/>
    </row>
    <row r="518" spans="1:4" ht="13.2">
      <c r="A518" s="82"/>
      <c r="B518" s="50"/>
      <c r="D518" s="51"/>
    </row>
    <row r="519" spans="1:4" ht="13.2">
      <c r="A519" s="82"/>
      <c r="B519" s="50"/>
      <c r="D519" s="51"/>
    </row>
    <row r="520" spans="1:4" ht="13.2">
      <c r="A520" s="82"/>
      <c r="B520" s="50"/>
      <c r="D520" s="51"/>
    </row>
    <row r="521" spans="1:4" ht="13.2">
      <c r="A521" s="82"/>
      <c r="B521" s="50"/>
      <c r="D521" s="51"/>
    </row>
    <row r="522" spans="1:4" ht="13.2">
      <c r="A522" s="82"/>
      <c r="B522" s="50"/>
      <c r="D522" s="51"/>
    </row>
    <row r="523" spans="1:4" ht="13.2">
      <c r="A523" s="82"/>
      <c r="B523" s="50"/>
      <c r="D523" s="51"/>
    </row>
    <row r="524" spans="1:4" ht="13.2">
      <c r="A524" s="82"/>
      <c r="B524" s="50"/>
      <c r="D524" s="51"/>
    </row>
    <row r="525" spans="1:4" ht="13.2">
      <c r="A525" s="82"/>
      <c r="B525" s="50"/>
      <c r="D525" s="51"/>
    </row>
    <row r="526" spans="1:4" ht="13.2">
      <c r="A526" s="82"/>
      <c r="B526" s="50"/>
      <c r="D526" s="51"/>
    </row>
    <row r="527" spans="1:4" ht="13.2">
      <c r="A527" s="82"/>
      <c r="B527" s="50"/>
      <c r="D527" s="51"/>
    </row>
    <row r="528" spans="1:4" ht="13.2">
      <c r="A528" s="82"/>
      <c r="B528" s="50"/>
      <c r="D528" s="51"/>
    </row>
    <row r="529" spans="1:4" ht="13.2">
      <c r="A529" s="82"/>
      <c r="B529" s="50"/>
      <c r="D529" s="51"/>
    </row>
    <row r="530" spans="1:4" ht="13.2">
      <c r="A530" s="82"/>
      <c r="B530" s="50"/>
      <c r="D530" s="51"/>
    </row>
    <row r="531" spans="1:4" ht="13.2">
      <c r="A531" s="82"/>
      <c r="B531" s="50"/>
      <c r="D531" s="51"/>
    </row>
    <row r="532" spans="1:4" ht="13.2">
      <c r="A532" s="82"/>
      <c r="B532" s="50"/>
      <c r="D532" s="51"/>
    </row>
    <row r="533" spans="1:4" ht="13.2">
      <c r="A533" s="82"/>
      <c r="B533" s="50"/>
      <c r="D533" s="51"/>
    </row>
    <row r="534" spans="1:4" ht="13.2">
      <c r="A534" s="82"/>
      <c r="B534" s="50"/>
      <c r="D534" s="51"/>
    </row>
    <row r="535" spans="1:4" ht="13.2">
      <c r="A535" s="82"/>
      <c r="B535" s="50"/>
      <c r="D535" s="51"/>
    </row>
    <row r="536" spans="1:4" ht="13.2">
      <c r="A536" s="82"/>
      <c r="B536" s="50"/>
      <c r="D536" s="51"/>
    </row>
    <row r="537" spans="1:4" ht="13.2">
      <c r="A537" s="82"/>
      <c r="B537" s="50"/>
      <c r="D537" s="51"/>
    </row>
    <row r="538" spans="1:4" ht="13.2">
      <c r="A538" s="82"/>
      <c r="B538" s="50"/>
      <c r="D538" s="51"/>
    </row>
    <row r="539" spans="1:4" ht="13.2">
      <c r="A539" s="82"/>
      <c r="B539" s="50"/>
      <c r="D539" s="51"/>
    </row>
    <row r="540" spans="1:4" ht="13.2">
      <c r="A540" s="82"/>
      <c r="B540" s="50"/>
      <c r="D540" s="51"/>
    </row>
    <row r="541" spans="1:4" ht="13.2">
      <c r="A541" s="82"/>
      <c r="B541" s="50"/>
      <c r="D541" s="51"/>
    </row>
    <row r="542" spans="1:4" ht="13.2">
      <c r="A542" s="82"/>
      <c r="B542" s="50"/>
      <c r="D542" s="51"/>
    </row>
    <row r="543" spans="1:4" ht="13.2">
      <c r="A543" s="82"/>
      <c r="B543" s="50"/>
      <c r="D543" s="51"/>
    </row>
    <row r="544" spans="1:4" ht="13.2">
      <c r="A544" s="82"/>
      <c r="B544" s="50"/>
      <c r="D544" s="51"/>
    </row>
    <row r="545" spans="1:4" ht="13.2">
      <c r="A545" s="82"/>
      <c r="B545" s="50"/>
      <c r="D545" s="51"/>
    </row>
    <row r="546" spans="1:4" ht="13.2">
      <c r="A546" s="82"/>
      <c r="B546" s="50"/>
      <c r="D546" s="51"/>
    </row>
    <row r="547" spans="1:4" ht="13.2">
      <c r="A547" s="82"/>
      <c r="B547" s="50"/>
      <c r="D547" s="51"/>
    </row>
    <row r="548" spans="1:4" ht="13.2">
      <c r="A548" s="82"/>
      <c r="B548" s="50"/>
      <c r="D548" s="51"/>
    </row>
    <row r="549" spans="1:4" ht="13.2">
      <c r="A549" s="82"/>
      <c r="B549" s="50"/>
      <c r="D549" s="51"/>
    </row>
    <row r="550" spans="1:4" ht="13.2">
      <c r="A550" s="82"/>
      <c r="B550" s="50"/>
      <c r="D550" s="51"/>
    </row>
    <row r="551" spans="1:4" ht="13.2">
      <c r="A551" s="82"/>
      <c r="B551" s="50"/>
      <c r="D551" s="51"/>
    </row>
    <row r="552" spans="1:4" ht="13.2">
      <c r="A552" s="82"/>
      <c r="B552" s="50"/>
      <c r="D552" s="51"/>
    </row>
    <row r="553" spans="1:4" ht="13.2">
      <c r="A553" s="82"/>
      <c r="B553" s="50"/>
      <c r="D553" s="51"/>
    </row>
    <row r="554" spans="1:4" ht="13.2">
      <c r="A554" s="82"/>
      <c r="B554" s="50"/>
      <c r="D554" s="51"/>
    </row>
    <row r="555" spans="1:4" ht="13.2">
      <c r="A555" s="82"/>
      <c r="B555" s="50"/>
      <c r="D555" s="51"/>
    </row>
    <row r="556" spans="1:4" ht="13.2">
      <c r="A556" s="82"/>
      <c r="B556" s="50"/>
      <c r="D556" s="51"/>
    </row>
    <row r="557" spans="1:4" ht="13.2">
      <c r="A557" s="82"/>
      <c r="B557" s="50"/>
      <c r="D557" s="51"/>
    </row>
    <row r="558" spans="1:4" ht="13.2">
      <c r="A558" s="82"/>
      <c r="B558" s="50"/>
      <c r="D558" s="51"/>
    </row>
    <row r="559" spans="1:4" ht="13.2">
      <c r="A559" s="82"/>
      <c r="B559" s="50"/>
      <c r="D559" s="51"/>
    </row>
    <row r="560" spans="1:4" ht="13.2">
      <c r="A560" s="82"/>
      <c r="B560" s="50"/>
      <c r="D560" s="51"/>
    </row>
    <row r="561" spans="1:4" ht="13.2">
      <c r="A561" s="82"/>
      <c r="B561" s="50"/>
      <c r="D561" s="51"/>
    </row>
    <row r="562" spans="1:4" ht="13.2">
      <c r="A562" s="82"/>
      <c r="B562" s="50"/>
      <c r="D562" s="51"/>
    </row>
    <row r="563" spans="1:4" ht="13.2">
      <c r="A563" s="82"/>
      <c r="B563" s="50"/>
      <c r="D563" s="51"/>
    </row>
    <row r="564" spans="1:4" ht="13.2">
      <c r="A564" s="82"/>
      <c r="B564" s="50"/>
      <c r="D564" s="51"/>
    </row>
    <row r="565" spans="1:4" ht="13.2">
      <c r="A565" s="82"/>
      <c r="B565" s="50"/>
      <c r="D565" s="51"/>
    </row>
    <row r="566" spans="1:4" ht="13.2">
      <c r="A566" s="82"/>
      <c r="B566" s="50"/>
      <c r="D566" s="51"/>
    </row>
    <row r="567" spans="1:4" ht="13.2">
      <c r="A567" s="82"/>
      <c r="B567" s="50"/>
      <c r="D567" s="51"/>
    </row>
    <row r="568" spans="1:4" ht="13.2">
      <c r="A568" s="82"/>
      <c r="B568" s="50"/>
      <c r="D568" s="51"/>
    </row>
    <row r="569" spans="1:4" ht="13.2">
      <c r="A569" s="82"/>
      <c r="B569" s="50"/>
      <c r="D569" s="51"/>
    </row>
    <row r="570" spans="1:4" ht="13.2">
      <c r="A570" s="82"/>
      <c r="B570" s="50"/>
      <c r="D570" s="51"/>
    </row>
    <row r="571" spans="1:4" ht="13.2">
      <c r="A571" s="82"/>
      <c r="B571" s="50"/>
      <c r="D571" s="51"/>
    </row>
    <row r="572" spans="1:4" ht="13.2">
      <c r="A572" s="82"/>
      <c r="B572" s="50"/>
      <c r="D572" s="51"/>
    </row>
    <row r="573" spans="1:4" ht="13.2">
      <c r="A573" s="82"/>
      <c r="B573" s="50"/>
      <c r="D573" s="51"/>
    </row>
    <row r="574" spans="1:4" ht="13.2">
      <c r="A574" s="82"/>
      <c r="B574" s="50"/>
      <c r="D574" s="51"/>
    </row>
    <row r="575" spans="1:4" ht="13.2">
      <c r="A575" s="82"/>
      <c r="B575" s="50"/>
      <c r="D575" s="51"/>
    </row>
    <row r="576" spans="1:4" ht="13.2">
      <c r="A576" s="82"/>
      <c r="B576" s="50"/>
      <c r="D576" s="51"/>
    </row>
    <row r="577" spans="1:4" ht="13.2">
      <c r="A577" s="82"/>
      <c r="B577" s="50"/>
      <c r="D577" s="51"/>
    </row>
    <row r="578" spans="1:4" ht="13.2">
      <c r="A578" s="82"/>
      <c r="B578" s="50"/>
      <c r="D578" s="51"/>
    </row>
    <row r="579" spans="1:4" ht="13.2">
      <c r="A579" s="82"/>
      <c r="B579" s="50"/>
      <c r="D579" s="51"/>
    </row>
    <row r="580" spans="1:4" ht="13.2">
      <c r="A580" s="82"/>
      <c r="B580" s="50"/>
      <c r="D580" s="51"/>
    </row>
    <row r="581" spans="1:4" ht="13.2">
      <c r="A581" s="82"/>
      <c r="B581" s="50"/>
      <c r="D581" s="51"/>
    </row>
    <row r="582" spans="1:4" ht="13.2">
      <c r="A582" s="82"/>
      <c r="B582" s="50"/>
      <c r="D582" s="51"/>
    </row>
    <row r="583" spans="1:4" ht="13.2">
      <c r="A583" s="82"/>
      <c r="B583" s="50"/>
      <c r="D583" s="51"/>
    </row>
    <row r="584" spans="1:4" ht="13.2">
      <c r="A584" s="82"/>
      <c r="B584" s="50"/>
      <c r="D584" s="51"/>
    </row>
    <row r="585" spans="1:4" ht="13.2">
      <c r="A585" s="82"/>
      <c r="B585" s="50"/>
      <c r="D585" s="51"/>
    </row>
    <row r="586" spans="1:4" ht="13.2">
      <c r="A586" s="82"/>
      <c r="B586" s="50"/>
      <c r="D586" s="51"/>
    </row>
    <row r="587" spans="1:4" ht="13.2">
      <c r="A587" s="82"/>
      <c r="B587" s="50"/>
      <c r="D587" s="51"/>
    </row>
    <row r="588" spans="1:4" ht="13.2">
      <c r="A588" s="82"/>
      <c r="B588" s="50"/>
      <c r="D588" s="51"/>
    </row>
    <row r="589" spans="1:4" ht="13.2">
      <c r="A589" s="82"/>
      <c r="B589" s="50"/>
      <c r="D589" s="51"/>
    </row>
    <row r="590" spans="1:4" ht="13.2">
      <c r="A590" s="82"/>
      <c r="B590" s="50"/>
      <c r="D590" s="51"/>
    </row>
    <row r="591" spans="1:4" ht="13.2">
      <c r="A591" s="82"/>
      <c r="B591" s="50"/>
      <c r="D591" s="51"/>
    </row>
    <row r="592" spans="1:4" ht="13.2">
      <c r="A592" s="82"/>
      <c r="B592" s="50"/>
      <c r="D592" s="51"/>
    </row>
    <row r="593" spans="1:4" ht="13.2">
      <c r="A593" s="82"/>
      <c r="B593" s="50"/>
      <c r="D593" s="51"/>
    </row>
    <row r="594" spans="1:4" ht="13.2">
      <c r="A594" s="82"/>
      <c r="B594" s="50"/>
      <c r="D594" s="51"/>
    </row>
    <row r="595" spans="1:4" ht="13.2">
      <c r="A595" s="82"/>
      <c r="B595" s="50"/>
      <c r="D595" s="51"/>
    </row>
    <row r="596" spans="1:4" ht="13.2">
      <c r="A596" s="82"/>
      <c r="B596" s="50"/>
      <c r="D596" s="51"/>
    </row>
    <row r="597" spans="1:4" ht="13.2">
      <c r="A597" s="82"/>
      <c r="B597" s="50"/>
      <c r="D597" s="51"/>
    </row>
    <row r="598" spans="1:4" ht="13.2">
      <c r="A598" s="82"/>
      <c r="B598" s="50"/>
      <c r="D598" s="51"/>
    </row>
    <row r="599" spans="1:4" ht="13.2">
      <c r="A599" s="82"/>
      <c r="B599" s="50"/>
      <c r="D599" s="51"/>
    </row>
    <row r="600" spans="1:4" ht="13.2">
      <c r="A600" s="82"/>
      <c r="B600" s="50"/>
      <c r="D600" s="51"/>
    </row>
    <row r="601" spans="1:4" ht="13.2">
      <c r="A601" s="82"/>
      <c r="B601" s="50"/>
      <c r="D601" s="51"/>
    </row>
    <row r="602" spans="1:4" ht="13.2">
      <c r="A602" s="82"/>
      <c r="B602" s="50"/>
      <c r="D602" s="51"/>
    </row>
    <row r="603" spans="1:4" ht="13.2">
      <c r="A603" s="82"/>
      <c r="B603" s="50"/>
      <c r="D603" s="51"/>
    </row>
    <row r="604" spans="1:4" ht="13.2">
      <c r="A604" s="82"/>
      <c r="B604" s="50"/>
      <c r="D604" s="51"/>
    </row>
    <row r="605" spans="1:4" ht="13.2">
      <c r="A605" s="82"/>
      <c r="B605" s="50"/>
      <c r="D605" s="51"/>
    </row>
    <row r="606" spans="1:4" ht="13.2">
      <c r="A606" s="82"/>
      <c r="B606" s="50"/>
      <c r="D606" s="51"/>
    </row>
    <row r="607" spans="1:4" ht="13.2">
      <c r="A607" s="82"/>
      <c r="B607" s="50"/>
      <c r="D607" s="51"/>
    </row>
    <row r="608" spans="1:4" ht="13.2">
      <c r="A608" s="82"/>
      <c r="B608" s="50"/>
      <c r="D608" s="51"/>
    </row>
    <row r="609" spans="1:4" ht="13.2">
      <c r="A609" s="82"/>
      <c r="B609" s="50"/>
      <c r="D609" s="51"/>
    </row>
    <row r="610" spans="1:4" ht="13.2">
      <c r="A610" s="82"/>
      <c r="B610" s="50"/>
      <c r="D610" s="51"/>
    </row>
    <row r="611" spans="1:4" ht="13.2">
      <c r="A611" s="82"/>
      <c r="B611" s="50"/>
      <c r="D611" s="51"/>
    </row>
    <row r="612" spans="1:4" ht="13.2">
      <c r="A612" s="82"/>
      <c r="B612" s="50"/>
      <c r="D612" s="51"/>
    </row>
    <row r="613" spans="1:4" ht="13.2">
      <c r="A613" s="82"/>
      <c r="B613" s="50"/>
      <c r="D613" s="51"/>
    </row>
    <row r="614" spans="1:4" ht="13.2">
      <c r="A614" s="82"/>
      <c r="B614" s="50"/>
      <c r="D614" s="51"/>
    </row>
    <row r="615" spans="1:4" ht="13.2">
      <c r="A615" s="82"/>
      <c r="B615" s="50"/>
      <c r="D615" s="51"/>
    </row>
    <row r="616" spans="1:4" ht="13.2">
      <c r="A616" s="82"/>
      <c r="B616" s="50"/>
      <c r="D616" s="51"/>
    </row>
    <row r="617" spans="1:4" ht="13.2">
      <c r="A617" s="82"/>
      <c r="B617" s="50"/>
      <c r="D617" s="51"/>
    </row>
    <row r="618" spans="1:4" ht="13.2">
      <c r="A618" s="82"/>
      <c r="B618" s="50"/>
      <c r="D618" s="51"/>
    </row>
    <row r="619" spans="1:4" ht="13.2">
      <c r="A619" s="82"/>
      <c r="B619" s="50"/>
      <c r="D619" s="51"/>
    </row>
    <row r="620" spans="1:4" ht="13.2">
      <c r="A620" s="82"/>
      <c r="B620" s="50"/>
      <c r="D620" s="51"/>
    </row>
    <row r="621" spans="1:4" ht="13.2">
      <c r="A621" s="82"/>
      <c r="B621" s="50"/>
      <c r="D621" s="51"/>
    </row>
    <row r="622" spans="1:4" ht="13.2">
      <c r="A622" s="82"/>
      <c r="B622" s="50"/>
      <c r="D622" s="51"/>
    </row>
    <row r="623" spans="1:4" ht="13.2">
      <c r="A623" s="82"/>
      <c r="B623" s="50"/>
      <c r="D623" s="51"/>
    </row>
    <row r="624" spans="1:4" ht="13.2">
      <c r="A624" s="82"/>
      <c r="B624" s="50"/>
      <c r="D624" s="51"/>
    </row>
    <row r="625" spans="1:4" ht="13.2">
      <c r="A625" s="82"/>
      <c r="B625" s="50"/>
      <c r="D625" s="51"/>
    </row>
    <row r="626" spans="1:4" ht="13.2">
      <c r="A626" s="82"/>
      <c r="B626" s="50"/>
      <c r="D626" s="51"/>
    </row>
    <row r="627" spans="1:4" ht="13.2">
      <c r="A627" s="82"/>
      <c r="B627" s="50"/>
      <c r="D627" s="51"/>
    </row>
    <row r="628" spans="1:4" ht="13.2">
      <c r="A628" s="82"/>
      <c r="B628" s="50"/>
      <c r="D628" s="51"/>
    </row>
    <row r="629" spans="1:4" ht="13.2">
      <c r="A629" s="82"/>
      <c r="B629" s="50"/>
      <c r="D629" s="51"/>
    </row>
    <row r="630" spans="1:4" ht="13.2">
      <c r="A630" s="82"/>
      <c r="B630" s="50"/>
      <c r="D630" s="51"/>
    </row>
    <row r="631" spans="1:4" ht="13.2">
      <c r="A631" s="82"/>
      <c r="B631" s="50"/>
      <c r="D631" s="51"/>
    </row>
    <row r="632" spans="1:4" ht="13.2">
      <c r="A632" s="82"/>
      <c r="B632" s="50"/>
      <c r="D632" s="51"/>
    </row>
    <row r="633" spans="1:4" ht="13.2">
      <c r="A633" s="82"/>
      <c r="B633" s="50"/>
      <c r="D633" s="51"/>
    </row>
    <row r="634" spans="1:4" ht="13.2">
      <c r="A634" s="82"/>
      <c r="B634" s="50"/>
      <c r="D634" s="51"/>
    </row>
    <row r="635" spans="1:4" ht="13.2">
      <c r="A635" s="82"/>
      <c r="B635" s="50"/>
      <c r="D635" s="51"/>
    </row>
    <row r="636" spans="1:4" ht="13.2">
      <c r="A636" s="82"/>
      <c r="B636" s="50"/>
      <c r="D636" s="51"/>
    </row>
    <row r="637" spans="1:4" ht="13.2">
      <c r="A637" s="82"/>
      <c r="B637" s="50"/>
      <c r="D637" s="51"/>
    </row>
    <row r="638" spans="1:4" ht="13.2">
      <c r="A638" s="82"/>
      <c r="B638" s="50"/>
      <c r="D638" s="51"/>
    </row>
    <row r="639" spans="1:4" ht="13.2">
      <c r="A639" s="82"/>
      <c r="B639" s="50"/>
      <c r="D639" s="51"/>
    </row>
    <row r="640" spans="1:4" ht="13.2">
      <c r="A640" s="82"/>
      <c r="B640" s="50"/>
      <c r="D640" s="51"/>
    </row>
    <row r="641" spans="1:4" ht="13.2">
      <c r="A641" s="82"/>
      <c r="B641" s="50"/>
      <c r="D641" s="51"/>
    </row>
    <row r="642" spans="1:4" ht="13.2">
      <c r="A642" s="82"/>
      <c r="B642" s="50"/>
      <c r="D642" s="51"/>
    </row>
    <row r="643" spans="1:4" ht="13.2">
      <c r="A643" s="82"/>
      <c r="B643" s="50"/>
      <c r="D643" s="51"/>
    </row>
    <row r="644" spans="1:4" ht="13.2">
      <c r="A644" s="82"/>
      <c r="B644" s="50"/>
      <c r="D644" s="51"/>
    </row>
    <row r="645" spans="1:4" ht="13.2">
      <c r="A645" s="82"/>
      <c r="B645" s="50"/>
      <c r="D645" s="51"/>
    </row>
    <row r="646" spans="1:4" ht="13.2">
      <c r="A646" s="82"/>
      <c r="B646" s="50"/>
      <c r="D646" s="51"/>
    </row>
    <row r="647" spans="1:4" ht="13.2">
      <c r="A647" s="82"/>
      <c r="B647" s="50"/>
      <c r="D647" s="51"/>
    </row>
    <row r="648" spans="1:4" ht="13.2">
      <c r="A648" s="82"/>
      <c r="B648" s="50"/>
      <c r="D648" s="51"/>
    </row>
    <row r="649" spans="1:4" ht="13.2">
      <c r="A649" s="82"/>
      <c r="B649" s="50"/>
      <c r="D649" s="51"/>
    </row>
    <row r="650" spans="1:4" ht="13.2">
      <c r="A650" s="82"/>
      <c r="B650" s="50"/>
      <c r="D650" s="51"/>
    </row>
    <row r="651" spans="1:4" ht="13.2">
      <c r="A651" s="82"/>
      <c r="B651" s="50"/>
      <c r="D651" s="51"/>
    </row>
    <row r="652" spans="1:4" ht="13.2">
      <c r="A652" s="82"/>
      <c r="B652" s="50"/>
      <c r="D652" s="51"/>
    </row>
    <row r="653" spans="1:4" ht="13.2">
      <c r="A653" s="82"/>
      <c r="B653" s="50"/>
      <c r="D653" s="51"/>
    </row>
    <row r="654" spans="1:4" ht="13.2">
      <c r="A654" s="82"/>
      <c r="B654" s="50"/>
      <c r="D654" s="51"/>
    </row>
    <row r="655" spans="1:4" ht="13.2">
      <c r="A655" s="82"/>
      <c r="B655" s="50"/>
      <c r="D655" s="51"/>
    </row>
    <row r="656" spans="1:4" ht="13.2">
      <c r="A656" s="82"/>
      <c r="B656" s="50"/>
      <c r="D656" s="51"/>
    </row>
    <row r="657" spans="1:4" ht="13.2">
      <c r="A657" s="82"/>
      <c r="B657" s="50"/>
      <c r="D657" s="51"/>
    </row>
    <row r="658" spans="1:4" ht="13.2">
      <c r="A658" s="82"/>
      <c r="B658" s="50"/>
      <c r="D658" s="51"/>
    </row>
    <row r="659" spans="1:4" ht="13.2">
      <c r="A659" s="82"/>
      <c r="B659" s="50"/>
      <c r="D659" s="51"/>
    </row>
    <row r="660" spans="1:4" ht="13.2">
      <c r="A660" s="82"/>
      <c r="B660" s="50"/>
      <c r="D660" s="51"/>
    </row>
    <row r="661" spans="1:4" ht="13.2">
      <c r="A661" s="82"/>
      <c r="B661" s="50"/>
      <c r="D661" s="51"/>
    </row>
    <row r="662" spans="1:4" ht="13.2">
      <c r="A662" s="82"/>
      <c r="B662" s="50"/>
      <c r="D662" s="51"/>
    </row>
    <row r="663" spans="1:4" ht="13.2">
      <c r="A663" s="82"/>
      <c r="B663" s="50"/>
      <c r="D663" s="51"/>
    </row>
    <row r="664" spans="1:4" ht="13.2">
      <c r="A664" s="82"/>
      <c r="B664" s="50"/>
      <c r="D664" s="51"/>
    </row>
    <row r="665" spans="1:4" ht="13.2">
      <c r="A665" s="82"/>
      <c r="B665" s="50"/>
      <c r="D665" s="51"/>
    </row>
    <row r="666" spans="1:4" ht="13.2">
      <c r="A666" s="82"/>
      <c r="B666" s="50"/>
      <c r="D666" s="51"/>
    </row>
    <row r="667" spans="1:4" ht="13.2">
      <c r="A667" s="82"/>
      <c r="B667" s="50"/>
      <c r="D667" s="51"/>
    </row>
    <row r="668" spans="1:4" ht="13.2">
      <c r="A668" s="82"/>
      <c r="B668" s="50"/>
      <c r="D668" s="51"/>
    </row>
    <row r="669" spans="1:4" ht="13.2">
      <c r="A669" s="82"/>
      <c r="B669" s="50"/>
      <c r="D669" s="51"/>
    </row>
    <row r="670" spans="1:4" ht="13.2">
      <c r="A670" s="82"/>
      <c r="B670" s="50"/>
      <c r="D670" s="51"/>
    </row>
    <row r="671" spans="1:4" ht="13.2">
      <c r="A671" s="82"/>
      <c r="B671" s="50"/>
      <c r="D671" s="51"/>
    </row>
    <row r="672" spans="1:4" ht="13.2">
      <c r="A672" s="82"/>
      <c r="B672" s="50"/>
      <c r="D672" s="51"/>
    </row>
    <row r="673" spans="1:4" ht="13.2">
      <c r="A673" s="82"/>
      <c r="B673" s="50"/>
      <c r="D673" s="51"/>
    </row>
    <row r="674" spans="1:4" ht="13.2">
      <c r="A674" s="82"/>
      <c r="B674" s="50"/>
      <c r="D674" s="51"/>
    </row>
    <row r="675" spans="1:4" ht="13.2">
      <c r="A675" s="82"/>
      <c r="B675" s="50"/>
      <c r="D675" s="51"/>
    </row>
    <row r="676" spans="1:4" ht="13.2">
      <c r="A676" s="82"/>
      <c r="B676" s="50"/>
      <c r="D676" s="51"/>
    </row>
    <row r="677" spans="1:4" ht="13.2">
      <c r="A677" s="82"/>
      <c r="B677" s="50"/>
      <c r="D677" s="51"/>
    </row>
    <row r="678" spans="1:4" ht="13.2">
      <c r="A678" s="82"/>
      <c r="B678" s="50"/>
      <c r="D678" s="51"/>
    </row>
    <row r="679" spans="1:4" ht="13.2">
      <c r="A679" s="82"/>
      <c r="B679" s="50"/>
      <c r="D679" s="51"/>
    </row>
    <row r="680" spans="1:4" ht="13.2">
      <c r="A680" s="82"/>
      <c r="B680" s="50"/>
      <c r="D680" s="51"/>
    </row>
    <row r="681" spans="1:4" ht="13.2">
      <c r="A681" s="82"/>
      <c r="B681" s="50"/>
      <c r="D681" s="51"/>
    </row>
    <row r="682" spans="1:4" ht="13.2">
      <c r="A682" s="82"/>
      <c r="B682" s="50"/>
      <c r="D682" s="51"/>
    </row>
    <row r="683" spans="1:4" ht="13.2">
      <c r="A683" s="82"/>
      <c r="B683" s="50"/>
      <c r="D683" s="51"/>
    </row>
    <row r="684" spans="1:4" ht="13.2">
      <c r="A684" s="82"/>
      <c r="B684" s="50"/>
      <c r="D684" s="51"/>
    </row>
    <row r="685" spans="1:4" ht="13.2">
      <c r="A685" s="82"/>
      <c r="B685" s="50"/>
      <c r="D685" s="51"/>
    </row>
    <row r="686" spans="1:4" ht="13.2">
      <c r="A686" s="82"/>
      <c r="B686" s="50"/>
      <c r="D686" s="51"/>
    </row>
    <row r="687" spans="1:4" ht="13.2">
      <c r="A687" s="82"/>
      <c r="B687" s="50"/>
      <c r="D687" s="51"/>
    </row>
    <row r="688" spans="1:4" ht="13.2">
      <c r="A688" s="82"/>
      <c r="B688" s="50"/>
      <c r="D688" s="51"/>
    </row>
    <row r="689" spans="1:4" ht="13.2">
      <c r="A689" s="82"/>
      <c r="B689" s="50"/>
      <c r="D689" s="51"/>
    </row>
    <row r="690" spans="1:4" ht="13.2">
      <c r="A690" s="82"/>
      <c r="B690" s="50"/>
      <c r="D690" s="51"/>
    </row>
    <row r="691" spans="1:4" ht="13.2">
      <c r="A691" s="82"/>
      <c r="B691" s="50"/>
      <c r="D691" s="51"/>
    </row>
    <row r="692" spans="1:4" ht="13.2">
      <c r="A692" s="82"/>
      <c r="B692" s="50"/>
      <c r="D692" s="51"/>
    </row>
    <row r="693" spans="1:4" ht="13.2">
      <c r="A693" s="82"/>
      <c r="B693" s="50"/>
      <c r="D693" s="51"/>
    </row>
    <row r="694" spans="1:4" ht="13.2">
      <c r="A694" s="82"/>
      <c r="B694" s="50"/>
      <c r="D694" s="51"/>
    </row>
    <row r="695" spans="1:4" ht="13.2">
      <c r="A695" s="82"/>
      <c r="B695" s="50"/>
      <c r="D695" s="51"/>
    </row>
    <row r="696" spans="1:4" ht="13.2">
      <c r="A696" s="82"/>
      <c r="B696" s="50"/>
      <c r="D696" s="51"/>
    </row>
    <row r="697" spans="1:4" ht="13.2">
      <c r="A697" s="82"/>
      <c r="B697" s="50"/>
      <c r="D697" s="51"/>
    </row>
    <row r="698" spans="1:4" ht="13.2">
      <c r="A698" s="82"/>
      <c r="B698" s="50"/>
      <c r="D698" s="51"/>
    </row>
    <row r="699" spans="1:4" ht="13.2">
      <c r="A699" s="82"/>
      <c r="B699" s="50"/>
      <c r="D699" s="51"/>
    </row>
    <row r="700" spans="1:4" ht="13.2">
      <c r="A700" s="82"/>
      <c r="B700" s="50"/>
      <c r="D700" s="51"/>
    </row>
    <row r="701" spans="1:4" ht="13.2">
      <c r="A701" s="82"/>
      <c r="B701" s="50"/>
      <c r="D701" s="51"/>
    </row>
    <row r="702" spans="1:4" ht="13.2">
      <c r="A702" s="82"/>
      <c r="B702" s="50"/>
      <c r="D702" s="51"/>
    </row>
    <row r="703" spans="1:4" ht="13.2">
      <c r="A703" s="82"/>
      <c r="B703" s="50"/>
      <c r="D703" s="51"/>
    </row>
    <row r="704" spans="1:4" ht="13.2">
      <c r="A704" s="82"/>
      <c r="B704" s="50"/>
      <c r="D704" s="51"/>
    </row>
    <row r="705" spans="1:4" ht="13.2">
      <c r="A705" s="82"/>
      <c r="B705" s="50"/>
      <c r="D705" s="51"/>
    </row>
    <row r="706" spans="1:4" ht="13.2">
      <c r="A706" s="82"/>
      <c r="B706" s="50"/>
      <c r="D706" s="51"/>
    </row>
    <row r="707" spans="1:4" ht="13.2">
      <c r="A707" s="82"/>
      <c r="B707" s="50"/>
      <c r="D707" s="51"/>
    </row>
    <row r="708" spans="1:4" ht="13.2">
      <c r="A708" s="82"/>
      <c r="B708" s="50"/>
      <c r="D708" s="51"/>
    </row>
    <row r="709" spans="1:4" ht="13.2">
      <c r="A709" s="82"/>
      <c r="B709" s="50"/>
      <c r="D709" s="51"/>
    </row>
    <row r="710" spans="1:4" ht="13.2">
      <c r="A710" s="82"/>
      <c r="B710" s="50"/>
      <c r="D710" s="51"/>
    </row>
    <row r="711" spans="1:4" ht="13.2">
      <c r="A711" s="82"/>
      <c r="B711" s="50"/>
      <c r="D711" s="51"/>
    </row>
    <row r="712" spans="1:4" ht="13.2">
      <c r="A712" s="82"/>
      <c r="B712" s="50"/>
      <c r="D712" s="51"/>
    </row>
    <row r="713" spans="1:4" ht="13.2">
      <c r="A713" s="82"/>
      <c r="B713" s="50"/>
      <c r="D713" s="51"/>
    </row>
    <row r="714" spans="1:4" ht="13.2">
      <c r="A714" s="82"/>
      <c r="B714" s="50"/>
      <c r="D714" s="51"/>
    </row>
    <row r="715" spans="1:4" ht="13.2">
      <c r="A715" s="82"/>
      <c r="B715" s="50"/>
      <c r="D715" s="51"/>
    </row>
    <row r="716" spans="1:4" ht="13.2">
      <c r="A716" s="82"/>
      <c r="B716" s="50"/>
      <c r="D716" s="51"/>
    </row>
    <row r="717" spans="1:4" ht="13.2">
      <c r="A717" s="82"/>
      <c r="B717" s="50"/>
      <c r="D717" s="51"/>
    </row>
    <row r="718" spans="1:4" ht="13.2">
      <c r="A718" s="82"/>
      <c r="B718" s="50"/>
      <c r="D718" s="51"/>
    </row>
    <row r="719" spans="1:4" ht="13.2">
      <c r="A719" s="82"/>
      <c r="B719" s="50"/>
      <c r="D719" s="51"/>
    </row>
    <row r="720" spans="1:4" ht="13.2">
      <c r="A720" s="82"/>
      <c r="B720" s="50"/>
      <c r="D720" s="51"/>
    </row>
    <row r="721" spans="1:4" ht="13.2">
      <c r="A721" s="82"/>
      <c r="B721" s="50"/>
      <c r="D721" s="51"/>
    </row>
    <row r="722" spans="1:4" ht="13.2">
      <c r="A722" s="82"/>
      <c r="B722" s="50"/>
      <c r="D722" s="51"/>
    </row>
    <row r="723" spans="1:4" ht="13.2">
      <c r="A723" s="82"/>
      <c r="B723" s="50"/>
      <c r="D723" s="51"/>
    </row>
    <row r="724" spans="1:4" ht="13.2">
      <c r="A724" s="82"/>
      <c r="B724" s="50"/>
      <c r="D724" s="51"/>
    </row>
    <row r="725" spans="1:4" ht="13.2">
      <c r="A725" s="82"/>
      <c r="B725" s="50"/>
      <c r="D725" s="51"/>
    </row>
    <row r="726" spans="1:4" ht="13.2">
      <c r="A726" s="82"/>
      <c r="B726" s="50"/>
      <c r="D726" s="51"/>
    </row>
    <row r="727" spans="1:4" ht="13.2">
      <c r="A727" s="82"/>
      <c r="B727" s="50"/>
      <c r="D727" s="51"/>
    </row>
    <row r="728" spans="1:4" ht="13.2">
      <c r="A728" s="82"/>
      <c r="B728" s="50"/>
      <c r="D728" s="51"/>
    </row>
    <row r="729" spans="1:4" ht="13.2">
      <c r="A729" s="82"/>
      <c r="B729" s="50"/>
      <c r="D729" s="51"/>
    </row>
    <row r="730" spans="1:4" ht="13.2">
      <c r="A730" s="82"/>
      <c r="B730" s="50"/>
      <c r="D730" s="51"/>
    </row>
    <row r="731" spans="1:4" ht="13.2">
      <c r="A731" s="82"/>
      <c r="B731" s="50"/>
      <c r="D731" s="51"/>
    </row>
    <row r="732" spans="1:4" ht="13.2">
      <c r="A732" s="82"/>
      <c r="B732" s="50"/>
      <c r="D732" s="51"/>
    </row>
    <row r="733" spans="1:4" ht="13.2">
      <c r="A733" s="82"/>
      <c r="B733" s="50"/>
      <c r="D733" s="51"/>
    </row>
    <row r="734" spans="1:4" ht="13.2">
      <c r="A734" s="82"/>
      <c r="B734" s="50"/>
      <c r="D734" s="51"/>
    </row>
    <row r="735" spans="1:4" ht="13.2">
      <c r="A735" s="82"/>
      <c r="B735" s="50"/>
      <c r="D735" s="51"/>
    </row>
    <row r="736" spans="1:4" ht="13.2">
      <c r="A736" s="82"/>
      <c r="B736" s="50"/>
      <c r="D736" s="51"/>
    </row>
    <row r="737" spans="1:4" ht="13.2">
      <c r="A737" s="82"/>
      <c r="B737" s="50"/>
      <c r="D737" s="51"/>
    </row>
    <row r="738" spans="1:4" ht="13.2">
      <c r="A738" s="82"/>
      <c r="B738" s="50"/>
      <c r="D738" s="51"/>
    </row>
    <row r="739" spans="1:4" ht="13.2">
      <c r="A739" s="82"/>
      <c r="B739" s="50"/>
      <c r="D739" s="51"/>
    </row>
    <row r="740" spans="1:4" ht="13.2">
      <c r="A740" s="82"/>
      <c r="B740" s="50"/>
      <c r="D740" s="51"/>
    </row>
    <row r="741" spans="1:4" ht="13.2">
      <c r="A741" s="82"/>
      <c r="B741" s="50"/>
      <c r="D741" s="51"/>
    </row>
    <row r="742" spans="1:4" ht="13.2">
      <c r="A742" s="82"/>
      <c r="B742" s="50"/>
      <c r="D742" s="51"/>
    </row>
    <row r="743" spans="1:4" ht="13.2">
      <c r="A743" s="82"/>
      <c r="B743" s="50"/>
      <c r="D743" s="51"/>
    </row>
    <row r="744" spans="1:4" ht="13.2">
      <c r="A744" s="82"/>
      <c r="B744" s="50"/>
      <c r="D744" s="51"/>
    </row>
    <row r="745" spans="1:4" ht="13.2">
      <c r="A745" s="82"/>
      <c r="B745" s="50"/>
      <c r="D745" s="51"/>
    </row>
    <row r="746" spans="1:4" ht="13.2">
      <c r="A746" s="82"/>
      <c r="B746" s="50"/>
      <c r="D746" s="51"/>
    </row>
    <row r="747" spans="1:4" ht="13.2">
      <c r="A747" s="82"/>
      <c r="B747" s="50"/>
      <c r="D747" s="51"/>
    </row>
    <row r="748" spans="1:4" ht="13.2">
      <c r="A748" s="82"/>
      <c r="B748" s="50"/>
      <c r="D748" s="51"/>
    </row>
    <row r="749" spans="1:4" ht="13.2">
      <c r="A749" s="82"/>
      <c r="B749" s="50"/>
      <c r="D749" s="51"/>
    </row>
    <row r="750" spans="1:4" ht="13.2">
      <c r="A750" s="82"/>
      <c r="B750" s="50"/>
      <c r="D750" s="51"/>
    </row>
    <row r="751" spans="1:4" ht="13.2">
      <c r="A751" s="82"/>
      <c r="B751" s="50"/>
      <c r="D751" s="51"/>
    </row>
    <row r="752" spans="1:4" ht="13.2">
      <c r="A752" s="82"/>
      <c r="B752" s="50"/>
      <c r="D752" s="51"/>
    </row>
    <row r="753" spans="1:4" ht="13.2">
      <c r="A753" s="82"/>
      <c r="B753" s="50"/>
      <c r="D753" s="51"/>
    </row>
    <row r="754" spans="1:4" ht="13.2">
      <c r="A754" s="82"/>
      <c r="B754" s="50"/>
      <c r="D754" s="51"/>
    </row>
    <row r="755" spans="1:4" ht="13.2">
      <c r="A755" s="82"/>
      <c r="B755" s="50"/>
      <c r="D755" s="51"/>
    </row>
    <row r="756" spans="1:4" ht="13.2">
      <c r="A756" s="82"/>
      <c r="B756" s="50"/>
      <c r="D756" s="51"/>
    </row>
    <row r="757" spans="1:4" ht="13.2">
      <c r="A757" s="82"/>
      <c r="B757" s="50"/>
      <c r="D757" s="51"/>
    </row>
    <row r="758" spans="1:4" ht="13.2">
      <c r="A758" s="82"/>
      <c r="B758" s="50"/>
      <c r="D758" s="51"/>
    </row>
    <row r="759" spans="1:4" ht="13.2">
      <c r="A759" s="82"/>
      <c r="B759" s="50"/>
      <c r="D759" s="51"/>
    </row>
    <row r="760" spans="1:4" ht="13.2">
      <c r="A760" s="82"/>
      <c r="B760" s="50"/>
      <c r="D760" s="51"/>
    </row>
    <row r="761" spans="1:4" ht="13.2">
      <c r="A761" s="82"/>
      <c r="B761" s="50"/>
      <c r="D761" s="51"/>
    </row>
    <row r="762" spans="1:4" ht="13.2">
      <c r="A762" s="82"/>
      <c r="B762" s="50"/>
      <c r="D762" s="51"/>
    </row>
    <row r="763" spans="1:4" ht="13.2">
      <c r="A763" s="82"/>
      <c r="B763" s="50"/>
      <c r="D763" s="51"/>
    </row>
    <row r="764" spans="1:4" ht="13.2">
      <c r="A764" s="82"/>
      <c r="B764" s="50"/>
      <c r="D764" s="51"/>
    </row>
    <row r="765" spans="1:4" ht="13.2">
      <c r="A765" s="82"/>
      <c r="B765" s="50"/>
      <c r="D765" s="51"/>
    </row>
    <row r="766" spans="1:4" ht="13.2">
      <c r="A766" s="82"/>
      <c r="B766" s="50"/>
      <c r="D766" s="51"/>
    </row>
    <row r="767" spans="1:4" ht="13.2">
      <c r="A767" s="82"/>
      <c r="B767" s="50"/>
      <c r="D767" s="51"/>
    </row>
    <row r="768" spans="1:4" ht="13.2">
      <c r="A768" s="82"/>
      <c r="B768" s="50"/>
      <c r="D768" s="51"/>
    </row>
    <row r="769" spans="1:4" ht="13.2">
      <c r="A769" s="82"/>
      <c r="B769" s="50"/>
      <c r="D769" s="51"/>
    </row>
    <row r="770" spans="1:4" ht="13.2">
      <c r="A770" s="82"/>
      <c r="B770" s="50"/>
      <c r="D770" s="51"/>
    </row>
    <row r="771" spans="1:4" ht="13.2">
      <c r="A771" s="82"/>
      <c r="B771" s="50"/>
      <c r="D771" s="51"/>
    </row>
    <row r="772" spans="1:4" ht="13.2">
      <c r="A772" s="82"/>
      <c r="B772" s="50"/>
      <c r="D772" s="51"/>
    </row>
    <row r="773" spans="1:4" ht="13.2">
      <c r="A773" s="82"/>
      <c r="B773" s="50"/>
      <c r="D773" s="51"/>
    </row>
    <row r="774" spans="1:4" ht="13.2">
      <c r="A774" s="82"/>
      <c r="B774" s="50"/>
      <c r="D774" s="51"/>
    </row>
    <row r="775" spans="1:4" ht="13.2">
      <c r="A775" s="82"/>
      <c r="B775" s="50"/>
      <c r="D775" s="51"/>
    </row>
    <row r="776" spans="1:4" ht="13.2">
      <c r="A776" s="82"/>
      <c r="B776" s="50"/>
      <c r="D776" s="51"/>
    </row>
    <row r="777" spans="1:4" ht="13.2">
      <c r="A777" s="82"/>
      <c r="B777" s="50"/>
      <c r="D777" s="51"/>
    </row>
    <row r="778" spans="1:4" ht="13.2">
      <c r="A778" s="82"/>
      <c r="B778" s="50"/>
      <c r="D778" s="51"/>
    </row>
    <row r="779" spans="1:4" ht="13.2">
      <c r="A779" s="82"/>
      <c r="B779" s="50"/>
      <c r="D779" s="51"/>
    </row>
    <row r="780" spans="1:4" ht="13.2">
      <c r="A780" s="82"/>
      <c r="B780" s="50"/>
      <c r="D780" s="51"/>
    </row>
    <row r="781" spans="1:4" ht="13.2">
      <c r="A781" s="82"/>
      <c r="B781" s="50"/>
      <c r="D781" s="51"/>
    </row>
    <row r="782" spans="1:4" ht="13.2">
      <c r="A782" s="82"/>
      <c r="B782" s="50"/>
      <c r="D782" s="51"/>
    </row>
    <row r="783" spans="1:4" ht="13.2">
      <c r="A783" s="82"/>
      <c r="B783" s="50"/>
      <c r="D783" s="51"/>
    </row>
    <row r="784" spans="1:4" ht="13.2">
      <c r="A784" s="82"/>
      <c r="B784" s="50"/>
      <c r="D784" s="51"/>
    </row>
    <row r="785" spans="1:4" ht="13.2">
      <c r="A785" s="82"/>
      <c r="B785" s="50"/>
      <c r="D785" s="51"/>
    </row>
    <row r="786" spans="1:4" ht="13.2">
      <c r="A786" s="82"/>
      <c r="B786" s="50"/>
      <c r="D786" s="51"/>
    </row>
    <row r="787" spans="1:4" ht="13.2">
      <c r="A787" s="82"/>
      <c r="B787" s="50"/>
      <c r="D787" s="51"/>
    </row>
    <row r="788" spans="1:4" ht="13.2">
      <c r="A788" s="82"/>
      <c r="B788" s="50"/>
      <c r="D788" s="51"/>
    </row>
    <row r="789" spans="1:4" ht="13.2">
      <c r="A789" s="82"/>
      <c r="B789" s="50"/>
      <c r="D789" s="51"/>
    </row>
    <row r="790" spans="1:4" ht="13.2">
      <c r="A790" s="82"/>
      <c r="B790" s="50"/>
      <c r="D790" s="51"/>
    </row>
    <row r="791" spans="1:4" ht="13.2">
      <c r="A791" s="82"/>
      <c r="B791" s="50"/>
      <c r="D791" s="51"/>
    </row>
    <row r="792" spans="1:4" ht="13.2">
      <c r="A792" s="82"/>
      <c r="B792" s="50"/>
      <c r="D792" s="51"/>
    </row>
    <row r="793" spans="1:4" ht="13.2">
      <c r="A793" s="82"/>
      <c r="B793" s="50"/>
      <c r="D793" s="51"/>
    </row>
    <row r="794" spans="1:4" ht="13.2">
      <c r="A794" s="82"/>
      <c r="B794" s="50"/>
      <c r="D794" s="51"/>
    </row>
    <row r="795" spans="1:4" ht="13.2">
      <c r="A795" s="82"/>
      <c r="B795" s="50"/>
      <c r="D795" s="51"/>
    </row>
    <row r="796" spans="1:4" ht="13.2">
      <c r="A796" s="82"/>
      <c r="B796" s="50"/>
      <c r="D796" s="51"/>
    </row>
    <row r="797" spans="1:4" ht="13.2">
      <c r="A797" s="82"/>
      <c r="B797" s="50"/>
      <c r="D797" s="51"/>
    </row>
    <row r="798" spans="1:4" ht="13.2">
      <c r="A798" s="82"/>
      <c r="B798" s="50"/>
      <c r="D798" s="51"/>
    </row>
    <row r="799" spans="1:4" ht="13.2">
      <c r="A799" s="82"/>
      <c r="B799" s="50"/>
      <c r="D799" s="51"/>
    </row>
    <row r="800" spans="1:4" ht="13.2">
      <c r="A800" s="82"/>
      <c r="B800" s="50"/>
      <c r="D800" s="51"/>
    </row>
    <row r="801" spans="1:4" ht="13.2">
      <c r="A801" s="82"/>
      <c r="B801" s="50"/>
      <c r="D801" s="51"/>
    </row>
    <row r="802" spans="1:4" ht="13.2">
      <c r="A802" s="82"/>
      <c r="B802" s="50"/>
      <c r="D802" s="51"/>
    </row>
    <row r="803" spans="1:4" ht="13.2">
      <c r="A803" s="82"/>
      <c r="B803" s="50"/>
      <c r="D803" s="51"/>
    </row>
    <row r="804" spans="1:4" ht="13.2">
      <c r="A804" s="82"/>
      <c r="B804" s="50"/>
      <c r="D804" s="51"/>
    </row>
    <row r="805" spans="1:4" ht="13.2">
      <c r="A805" s="82"/>
      <c r="B805" s="50"/>
      <c r="D805" s="51"/>
    </row>
    <row r="806" spans="1:4" ht="13.2">
      <c r="A806" s="82"/>
      <c r="B806" s="50"/>
      <c r="D806" s="51"/>
    </row>
    <row r="807" spans="1:4" ht="13.2">
      <c r="A807" s="82"/>
      <c r="B807" s="50"/>
      <c r="D807" s="51"/>
    </row>
    <row r="808" spans="1:4" ht="13.2">
      <c r="A808" s="82"/>
      <c r="B808" s="50"/>
      <c r="D808" s="51"/>
    </row>
    <row r="809" spans="1:4" ht="13.2">
      <c r="A809" s="82"/>
      <c r="B809" s="50"/>
      <c r="D809" s="51"/>
    </row>
    <row r="810" spans="1:4" ht="13.2">
      <c r="A810" s="82"/>
      <c r="B810" s="50"/>
      <c r="D810" s="51"/>
    </row>
    <row r="811" spans="1:4" ht="13.2">
      <c r="A811" s="82"/>
      <c r="B811" s="50"/>
      <c r="D811" s="51"/>
    </row>
    <row r="812" spans="1:4" ht="13.2">
      <c r="A812" s="82"/>
      <c r="B812" s="50"/>
      <c r="D812" s="51"/>
    </row>
    <row r="813" spans="1:4" ht="13.2">
      <c r="A813" s="82"/>
      <c r="B813" s="50"/>
      <c r="D813" s="51"/>
    </row>
    <row r="814" spans="1:4" ht="13.2">
      <c r="A814" s="82"/>
      <c r="B814" s="50"/>
      <c r="D814" s="51"/>
    </row>
    <row r="815" spans="1:4" ht="13.2">
      <c r="A815" s="82"/>
      <c r="B815" s="50"/>
      <c r="D815" s="51"/>
    </row>
    <row r="816" spans="1:4" ht="13.2">
      <c r="A816" s="82"/>
      <c r="B816" s="50"/>
      <c r="D816" s="51"/>
    </row>
    <row r="817" spans="1:4" ht="13.2">
      <c r="A817" s="82"/>
      <c r="B817" s="50"/>
      <c r="D817" s="51"/>
    </row>
    <row r="818" spans="1:4" ht="13.2">
      <c r="A818" s="82"/>
      <c r="B818" s="50"/>
      <c r="D818" s="51"/>
    </row>
    <row r="819" spans="1:4" ht="13.2">
      <c r="A819" s="82"/>
      <c r="B819" s="50"/>
      <c r="D819" s="51"/>
    </row>
    <row r="820" spans="1:4" ht="13.2">
      <c r="A820" s="82"/>
      <c r="B820" s="50"/>
      <c r="D820" s="51"/>
    </row>
    <row r="821" spans="1:4" ht="13.2">
      <c r="A821" s="82"/>
      <c r="B821" s="50"/>
      <c r="D821" s="51"/>
    </row>
    <row r="822" spans="1:4" ht="13.2">
      <c r="A822" s="82"/>
      <c r="B822" s="50"/>
      <c r="D822" s="51"/>
    </row>
    <row r="823" spans="1:4" ht="13.2">
      <c r="A823" s="82"/>
      <c r="B823" s="50"/>
      <c r="D823" s="51"/>
    </row>
    <row r="824" spans="1:4" ht="13.2">
      <c r="A824" s="82"/>
      <c r="B824" s="50"/>
      <c r="D824" s="51"/>
    </row>
    <row r="825" spans="1:4" ht="13.2">
      <c r="A825" s="82"/>
      <c r="B825" s="50"/>
      <c r="D825" s="51"/>
    </row>
    <row r="826" spans="1:4" ht="13.2">
      <c r="A826" s="82"/>
      <c r="B826" s="50"/>
      <c r="D826" s="51"/>
    </row>
    <row r="827" spans="1:4" ht="13.2">
      <c r="A827" s="82"/>
      <c r="B827" s="50"/>
      <c r="D827" s="51"/>
    </row>
    <row r="828" spans="1:4" ht="13.2">
      <c r="A828" s="82"/>
      <c r="B828" s="50"/>
      <c r="D828" s="51"/>
    </row>
    <row r="829" spans="1:4" ht="13.2">
      <c r="A829" s="82"/>
      <c r="B829" s="50"/>
      <c r="D829" s="51"/>
    </row>
    <row r="830" spans="1:4" ht="13.2">
      <c r="A830" s="82"/>
      <c r="B830" s="50"/>
      <c r="D830" s="51"/>
    </row>
    <row r="831" spans="1:4" ht="13.2">
      <c r="A831" s="82"/>
      <c r="B831" s="50"/>
      <c r="D831" s="51"/>
    </row>
    <row r="832" spans="1:4" ht="13.2">
      <c r="A832" s="82"/>
      <c r="B832" s="50"/>
      <c r="D832" s="51"/>
    </row>
    <row r="833" spans="1:4" ht="13.2">
      <c r="A833" s="82"/>
      <c r="B833" s="50"/>
      <c r="D833" s="51"/>
    </row>
    <row r="834" spans="1:4" ht="13.2">
      <c r="A834" s="82"/>
      <c r="B834" s="50"/>
      <c r="D834" s="51"/>
    </row>
    <row r="835" spans="1:4" ht="13.2">
      <c r="A835" s="82"/>
      <c r="B835" s="50"/>
      <c r="D835" s="51"/>
    </row>
    <row r="836" spans="1:4" ht="13.2">
      <c r="A836" s="82"/>
      <c r="B836" s="50"/>
      <c r="D836" s="51"/>
    </row>
    <row r="837" spans="1:4" ht="13.2">
      <c r="A837" s="82"/>
      <c r="B837" s="50"/>
      <c r="D837" s="51"/>
    </row>
    <row r="838" spans="1:4" ht="13.2">
      <c r="A838" s="82"/>
      <c r="B838" s="50"/>
      <c r="D838" s="51"/>
    </row>
    <row r="839" spans="1:4" ht="13.2">
      <c r="A839" s="82"/>
      <c r="B839" s="50"/>
      <c r="D839" s="51"/>
    </row>
    <row r="840" spans="1:4" ht="13.2">
      <c r="A840" s="82"/>
      <c r="B840" s="50"/>
      <c r="D840" s="51"/>
    </row>
    <row r="841" spans="1:4" ht="13.2">
      <c r="A841" s="82"/>
      <c r="B841" s="50"/>
      <c r="D841" s="51"/>
    </row>
    <row r="842" spans="1:4" ht="13.2">
      <c r="A842" s="82"/>
      <c r="B842" s="50"/>
      <c r="D842" s="51"/>
    </row>
    <row r="843" spans="1:4" ht="13.2">
      <c r="A843" s="82"/>
      <c r="B843" s="50"/>
      <c r="D843" s="51"/>
    </row>
    <row r="844" spans="1:4" ht="13.2">
      <c r="A844" s="82"/>
      <c r="B844" s="50"/>
      <c r="D844" s="51"/>
    </row>
    <row r="845" spans="1:4" ht="13.2">
      <c r="A845" s="82"/>
      <c r="B845" s="50"/>
      <c r="D845" s="51"/>
    </row>
    <row r="846" spans="1:4" ht="13.2">
      <c r="A846" s="82"/>
      <c r="B846" s="50"/>
      <c r="D846" s="51"/>
    </row>
    <row r="847" spans="1:4" ht="13.2">
      <c r="A847" s="82"/>
      <c r="B847" s="50"/>
      <c r="D847" s="51"/>
    </row>
    <row r="848" spans="1:4" ht="13.2">
      <c r="A848" s="82"/>
      <c r="B848" s="50"/>
      <c r="D848" s="51"/>
    </row>
    <row r="849" spans="1:4" ht="13.2">
      <c r="A849" s="82"/>
      <c r="B849" s="50"/>
      <c r="D849" s="51"/>
    </row>
    <row r="850" spans="1:4" ht="13.2">
      <c r="A850" s="82"/>
      <c r="B850" s="50"/>
      <c r="D850" s="51"/>
    </row>
    <row r="851" spans="1:4" ht="13.2">
      <c r="A851" s="82"/>
      <c r="B851" s="50"/>
      <c r="D851" s="51"/>
    </row>
    <row r="852" spans="1:4" ht="13.2">
      <c r="A852" s="82"/>
      <c r="B852" s="50"/>
      <c r="D852" s="51"/>
    </row>
    <row r="853" spans="1:4" ht="13.2">
      <c r="A853" s="82"/>
      <c r="B853" s="50"/>
      <c r="D853" s="51"/>
    </row>
    <row r="854" spans="1:4" ht="13.2">
      <c r="A854" s="82"/>
      <c r="B854" s="50"/>
      <c r="D854" s="51"/>
    </row>
    <row r="855" spans="1:4" ht="13.2">
      <c r="A855" s="82"/>
      <c r="B855" s="50"/>
      <c r="D855" s="51"/>
    </row>
    <row r="856" spans="1:4" ht="13.2">
      <c r="A856" s="82"/>
      <c r="B856" s="50"/>
      <c r="D856" s="51"/>
    </row>
    <row r="857" spans="1:4" ht="13.2">
      <c r="A857" s="82"/>
      <c r="B857" s="50"/>
      <c r="D857" s="51"/>
    </row>
    <row r="858" spans="1:4" ht="13.2">
      <c r="A858" s="82"/>
      <c r="B858" s="50"/>
      <c r="D858" s="51"/>
    </row>
    <row r="859" spans="1:4" ht="13.2">
      <c r="A859" s="82"/>
      <c r="B859" s="50"/>
      <c r="D859" s="51"/>
    </row>
    <row r="860" spans="1:4" ht="13.2">
      <c r="A860" s="82"/>
      <c r="B860" s="50"/>
      <c r="D860" s="51"/>
    </row>
    <row r="861" spans="1:4" ht="13.2">
      <c r="A861" s="82"/>
      <c r="B861" s="50"/>
      <c r="D861" s="51"/>
    </row>
    <row r="862" spans="1:4" ht="13.2">
      <c r="A862" s="82"/>
      <c r="B862" s="50"/>
      <c r="D862" s="51"/>
    </row>
    <row r="863" spans="1:4" ht="13.2">
      <c r="A863" s="82"/>
      <c r="B863" s="50"/>
      <c r="D863" s="51"/>
    </row>
    <row r="864" spans="1:4" ht="13.2">
      <c r="A864" s="82"/>
      <c r="B864" s="50"/>
      <c r="D864" s="51"/>
    </row>
    <row r="865" spans="1:4" ht="13.2">
      <c r="A865" s="82"/>
      <c r="B865" s="50"/>
      <c r="D865" s="51"/>
    </row>
    <row r="866" spans="1:4" ht="13.2">
      <c r="A866" s="82"/>
      <c r="B866" s="50"/>
      <c r="D866" s="51"/>
    </row>
    <row r="867" spans="1:4" ht="13.2">
      <c r="A867" s="82"/>
      <c r="B867" s="50"/>
      <c r="D867" s="51"/>
    </row>
    <row r="868" spans="1:4" ht="13.2">
      <c r="A868" s="82"/>
      <c r="B868" s="50"/>
      <c r="D868" s="51"/>
    </row>
    <row r="869" spans="1:4" ht="13.2">
      <c r="A869" s="82"/>
      <c r="B869" s="50"/>
      <c r="D869" s="51"/>
    </row>
    <row r="870" spans="1:4" ht="13.2">
      <c r="A870" s="82"/>
      <c r="B870" s="50"/>
      <c r="D870" s="51"/>
    </row>
    <row r="871" spans="1:4" ht="13.2">
      <c r="A871" s="82"/>
      <c r="B871" s="50"/>
      <c r="D871" s="51"/>
    </row>
    <row r="872" spans="1:4" ht="13.2">
      <c r="A872" s="82"/>
      <c r="B872" s="50"/>
      <c r="D872" s="51"/>
    </row>
    <row r="873" spans="1:4" ht="13.2">
      <c r="A873" s="82"/>
      <c r="B873" s="50"/>
      <c r="D873" s="51"/>
    </row>
    <row r="874" spans="1:4" ht="13.2">
      <c r="A874" s="82"/>
      <c r="B874" s="50"/>
      <c r="D874" s="51"/>
    </row>
    <row r="875" spans="1:4" ht="13.2">
      <c r="A875" s="82"/>
      <c r="B875" s="50"/>
      <c r="D875" s="51"/>
    </row>
    <row r="876" spans="1:4" ht="13.2">
      <c r="A876" s="82"/>
      <c r="B876" s="50"/>
      <c r="D876" s="51"/>
    </row>
    <row r="877" spans="1:4" ht="13.2">
      <c r="A877" s="82"/>
      <c r="B877" s="50"/>
      <c r="D877" s="51"/>
    </row>
    <row r="878" spans="1:4" ht="13.2">
      <c r="A878" s="82"/>
      <c r="B878" s="50"/>
      <c r="D878" s="51"/>
    </row>
    <row r="879" spans="1:4" ht="13.2">
      <c r="A879" s="82"/>
      <c r="B879" s="50"/>
      <c r="D879" s="51"/>
    </row>
    <row r="880" spans="1:4" ht="13.2">
      <c r="A880" s="82"/>
      <c r="B880" s="50"/>
      <c r="D880" s="51"/>
    </row>
    <row r="881" spans="1:4" ht="13.2">
      <c r="A881" s="82"/>
      <c r="B881" s="50"/>
      <c r="D881" s="51"/>
    </row>
    <row r="882" spans="1:4" ht="13.2">
      <c r="A882" s="82"/>
      <c r="B882" s="50"/>
      <c r="D882" s="51"/>
    </row>
    <row r="883" spans="1:4" ht="13.2">
      <c r="A883" s="82"/>
      <c r="B883" s="50"/>
      <c r="D883" s="51"/>
    </row>
    <row r="884" spans="1:4" ht="13.2">
      <c r="A884" s="82"/>
      <c r="B884" s="50"/>
      <c r="D884" s="51"/>
    </row>
    <row r="885" spans="1:4" ht="13.2">
      <c r="A885" s="82"/>
      <c r="B885" s="50"/>
      <c r="D885" s="51"/>
    </row>
    <row r="886" spans="1:4" ht="13.2">
      <c r="A886" s="82"/>
      <c r="B886" s="50"/>
      <c r="D886" s="51"/>
    </row>
    <row r="887" spans="1:4" ht="13.2">
      <c r="A887" s="82"/>
      <c r="B887" s="50"/>
      <c r="D887" s="51"/>
    </row>
    <row r="888" spans="1:4" ht="13.2">
      <c r="A888" s="82"/>
      <c r="B888" s="50"/>
      <c r="D888" s="51"/>
    </row>
    <row r="889" spans="1:4" ht="13.2">
      <c r="A889" s="82"/>
      <c r="B889" s="50"/>
      <c r="D889" s="51"/>
    </row>
    <row r="890" spans="1:4" ht="13.2">
      <c r="A890" s="82"/>
      <c r="B890" s="50"/>
      <c r="D890" s="51"/>
    </row>
    <row r="891" spans="1:4" ht="13.2">
      <c r="A891" s="82"/>
      <c r="B891" s="50"/>
      <c r="D891" s="51"/>
    </row>
    <row r="892" spans="1:4" ht="13.2">
      <c r="A892" s="82"/>
      <c r="B892" s="50"/>
      <c r="D892" s="51"/>
    </row>
    <row r="893" spans="1:4" ht="13.2">
      <c r="A893" s="82"/>
      <c r="B893" s="50"/>
      <c r="D893" s="51"/>
    </row>
    <row r="894" spans="1:4" ht="13.2">
      <c r="A894" s="82"/>
      <c r="B894" s="50"/>
      <c r="D894" s="51"/>
    </row>
    <row r="895" spans="1:4" ht="13.2">
      <c r="A895" s="82"/>
      <c r="B895" s="50"/>
      <c r="D895" s="51"/>
    </row>
    <row r="896" spans="1:4" ht="13.2">
      <c r="A896" s="82"/>
      <c r="B896" s="50"/>
      <c r="D896" s="51"/>
    </row>
    <row r="897" spans="1:4" ht="13.2">
      <c r="A897" s="82"/>
      <c r="B897" s="50"/>
      <c r="D897" s="51"/>
    </row>
    <row r="898" spans="1:4" ht="13.2">
      <c r="A898" s="82"/>
      <c r="B898" s="50"/>
      <c r="D898" s="51"/>
    </row>
    <row r="899" spans="1:4" ht="13.2">
      <c r="A899" s="82"/>
      <c r="B899" s="50"/>
      <c r="D899" s="51"/>
    </row>
    <row r="900" spans="1:4" ht="13.2">
      <c r="A900" s="82"/>
      <c r="B900" s="50"/>
      <c r="D900" s="51"/>
    </row>
    <row r="901" spans="1:4" ht="13.2">
      <c r="A901" s="82"/>
      <c r="B901" s="50"/>
      <c r="D901" s="51"/>
    </row>
    <row r="902" spans="1:4" ht="13.2">
      <c r="A902" s="82"/>
      <c r="B902" s="50"/>
      <c r="D902" s="51"/>
    </row>
    <row r="903" spans="1:4" ht="13.2">
      <c r="A903" s="82"/>
      <c r="B903" s="50"/>
      <c r="D903" s="51"/>
    </row>
    <row r="904" spans="1:4" ht="13.2">
      <c r="A904" s="82"/>
      <c r="B904" s="50"/>
      <c r="D904" s="51"/>
    </row>
    <row r="905" spans="1:4" ht="13.2">
      <c r="A905" s="82"/>
      <c r="B905" s="50"/>
      <c r="D905" s="51"/>
    </row>
    <row r="906" spans="1:4" ht="13.2">
      <c r="A906" s="82"/>
      <c r="B906" s="50"/>
      <c r="D906" s="51"/>
    </row>
    <row r="907" spans="1:4" ht="13.2">
      <c r="A907" s="82"/>
      <c r="B907" s="50"/>
      <c r="D907" s="51"/>
    </row>
    <row r="908" spans="1:4" ht="13.2">
      <c r="A908" s="82"/>
      <c r="B908" s="50"/>
      <c r="D908" s="51"/>
    </row>
    <row r="909" spans="1:4" ht="13.2">
      <c r="A909" s="82"/>
      <c r="B909" s="50"/>
      <c r="D909" s="51"/>
    </row>
    <row r="910" spans="1:4" ht="13.2">
      <c r="A910" s="82"/>
      <c r="B910" s="50"/>
      <c r="D910" s="51"/>
    </row>
    <row r="911" spans="1:4" ht="13.2">
      <c r="A911" s="82"/>
      <c r="B911" s="50"/>
      <c r="D911" s="51"/>
    </row>
    <row r="912" spans="1:4" ht="13.2">
      <c r="A912" s="82"/>
      <c r="B912" s="50"/>
      <c r="D912" s="51"/>
    </row>
    <row r="913" spans="1:4" ht="13.2">
      <c r="A913" s="82"/>
      <c r="B913" s="50"/>
      <c r="D913" s="51"/>
    </row>
    <row r="914" spans="1:4" ht="13.2">
      <c r="A914" s="82"/>
      <c r="B914" s="50"/>
      <c r="D914" s="51"/>
    </row>
    <row r="915" spans="1:4" ht="13.2">
      <c r="A915" s="82"/>
      <c r="B915" s="50"/>
      <c r="D915" s="51"/>
    </row>
    <row r="916" spans="1:4" ht="13.2">
      <c r="A916" s="82"/>
      <c r="B916" s="50"/>
      <c r="D916" s="51"/>
    </row>
    <row r="917" spans="1:4" ht="13.2">
      <c r="A917" s="82"/>
      <c r="B917" s="50"/>
      <c r="D917" s="51"/>
    </row>
    <row r="918" spans="1:4" ht="13.2">
      <c r="A918" s="82"/>
      <c r="B918" s="50"/>
      <c r="D918" s="51"/>
    </row>
    <row r="919" spans="1:4" ht="13.2">
      <c r="A919" s="82"/>
      <c r="B919" s="50"/>
      <c r="D919" s="51"/>
    </row>
    <row r="920" spans="1:4" ht="13.2">
      <c r="A920" s="82"/>
      <c r="B920" s="50"/>
      <c r="D920" s="51"/>
    </row>
    <row r="921" spans="1:4" ht="13.2">
      <c r="A921" s="82"/>
      <c r="B921" s="50"/>
      <c r="D921" s="51"/>
    </row>
    <row r="922" spans="1:4" ht="13.2">
      <c r="A922" s="82"/>
      <c r="B922" s="50"/>
      <c r="D922" s="51"/>
    </row>
    <row r="923" spans="1:4" ht="13.2">
      <c r="A923" s="82"/>
      <c r="B923" s="50"/>
      <c r="D923" s="51"/>
    </row>
    <row r="924" spans="1:4" ht="13.2">
      <c r="A924" s="82"/>
      <c r="B924" s="50"/>
      <c r="D924" s="51"/>
    </row>
    <row r="925" spans="1:4" ht="13.2">
      <c r="A925" s="82"/>
      <c r="B925" s="50"/>
      <c r="D925" s="51"/>
    </row>
    <row r="926" spans="1:4" ht="13.2">
      <c r="A926" s="82"/>
      <c r="B926" s="50"/>
      <c r="D926" s="51"/>
    </row>
    <row r="927" spans="1:4" ht="13.2">
      <c r="A927" s="82"/>
      <c r="B927" s="50"/>
      <c r="D927" s="51"/>
    </row>
    <row r="928" spans="1:4" ht="13.2">
      <c r="A928" s="82"/>
      <c r="B928" s="50"/>
      <c r="D928" s="51"/>
    </row>
    <row r="929" spans="1:4" ht="13.2">
      <c r="A929" s="82"/>
      <c r="B929" s="50"/>
      <c r="D929" s="51"/>
    </row>
    <row r="930" spans="1:4" ht="13.2">
      <c r="A930" s="82"/>
      <c r="B930" s="50"/>
      <c r="D930" s="51"/>
    </row>
    <row r="931" spans="1:4" ht="13.2">
      <c r="A931" s="82"/>
      <c r="B931" s="50"/>
      <c r="D931" s="51"/>
    </row>
    <row r="932" spans="1:4" ht="13.2">
      <c r="A932" s="82"/>
      <c r="B932" s="50"/>
      <c r="D932" s="51"/>
    </row>
    <row r="933" spans="1:4" ht="13.2">
      <c r="A933" s="82"/>
      <c r="B933" s="50"/>
      <c r="D933" s="51"/>
    </row>
    <row r="934" spans="1:4" ht="13.2">
      <c r="A934" s="82"/>
      <c r="B934" s="50"/>
      <c r="D934" s="51"/>
    </row>
    <row r="935" spans="1:4" ht="13.2">
      <c r="A935" s="82"/>
      <c r="B935" s="50"/>
      <c r="D935" s="51"/>
    </row>
    <row r="936" spans="1:4" ht="13.2">
      <c r="A936" s="82"/>
      <c r="B936" s="50"/>
      <c r="D936" s="51"/>
    </row>
    <row r="937" spans="1:4" ht="13.2">
      <c r="A937" s="82"/>
      <c r="B937" s="50"/>
      <c r="D937" s="51"/>
    </row>
    <row r="938" spans="1:4" ht="13.2">
      <c r="A938" s="82"/>
      <c r="B938" s="50"/>
      <c r="D938" s="51"/>
    </row>
    <row r="939" spans="1:4" ht="13.2">
      <c r="A939" s="82"/>
      <c r="B939" s="50"/>
      <c r="D939" s="51"/>
    </row>
    <row r="940" spans="1:4" ht="13.2">
      <c r="A940" s="82"/>
      <c r="B940" s="50"/>
      <c r="D940" s="51"/>
    </row>
    <row r="941" spans="1:4" ht="13.2">
      <c r="A941" s="82"/>
      <c r="B941" s="50"/>
      <c r="D941" s="51"/>
    </row>
    <row r="942" spans="1:4" ht="13.2">
      <c r="A942" s="82"/>
      <c r="B942" s="50"/>
      <c r="D942" s="51"/>
    </row>
    <row r="943" spans="1:4" ht="13.2">
      <c r="A943" s="82"/>
      <c r="B943" s="50"/>
      <c r="D943" s="51"/>
    </row>
    <row r="944" spans="1:4" ht="13.2">
      <c r="A944" s="82"/>
      <c r="B944" s="50"/>
      <c r="D944" s="51"/>
    </row>
    <row r="945" spans="1:4" ht="13.2">
      <c r="A945" s="82"/>
      <c r="B945" s="50"/>
      <c r="D945" s="51"/>
    </row>
    <row r="946" spans="1:4" ht="13.2">
      <c r="A946" s="82"/>
      <c r="B946" s="50"/>
      <c r="D946" s="51"/>
    </row>
    <row r="947" spans="1:4" ht="13.2">
      <c r="A947" s="82"/>
      <c r="B947" s="50"/>
      <c r="D947" s="51"/>
    </row>
    <row r="948" spans="1:4" ht="13.2">
      <c r="A948" s="82"/>
      <c r="B948" s="50"/>
      <c r="D948" s="51"/>
    </row>
    <row r="949" spans="1:4" ht="13.2">
      <c r="A949" s="82"/>
      <c r="B949" s="50"/>
      <c r="D949" s="51"/>
    </row>
    <row r="950" spans="1:4" ht="13.2">
      <c r="A950" s="82"/>
      <c r="B950" s="50"/>
      <c r="D950" s="51"/>
    </row>
    <row r="951" spans="1:4" ht="13.2">
      <c r="A951" s="82"/>
      <c r="B951" s="50"/>
      <c r="D951" s="51"/>
    </row>
    <row r="952" spans="1:4" ht="13.2">
      <c r="A952" s="82"/>
      <c r="B952" s="50"/>
      <c r="D952" s="51"/>
    </row>
    <row r="953" spans="1:4" ht="13.2">
      <c r="A953" s="82"/>
      <c r="B953" s="50"/>
      <c r="D953" s="51"/>
    </row>
    <row r="954" spans="1:4" ht="13.2">
      <c r="A954" s="82"/>
      <c r="B954" s="50"/>
      <c r="D954" s="51"/>
    </row>
    <row r="955" spans="1:4" ht="13.2">
      <c r="A955" s="82"/>
      <c r="B955" s="50"/>
      <c r="D955" s="51"/>
    </row>
    <row r="956" spans="1:4" ht="13.2">
      <c r="A956" s="82"/>
      <c r="B956" s="50"/>
      <c r="D956" s="51"/>
    </row>
    <row r="957" spans="1:4" ht="13.2">
      <c r="A957" s="82"/>
      <c r="B957" s="50"/>
      <c r="D957" s="51"/>
    </row>
    <row r="958" spans="1:4" ht="13.2">
      <c r="A958" s="82"/>
      <c r="B958" s="50"/>
      <c r="D958" s="51"/>
    </row>
    <row r="959" spans="1:4" ht="13.2">
      <c r="A959" s="82"/>
      <c r="B959" s="50"/>
      <c r="D959" s="51"/>
    </row>
    <row r="960" spans="1:4" ht="13.2">
      <c r="A960" s="82"/>
      <c r="B960" s="50"/>
      <c r="D960" s="51"/>
    </row>
    <row r="961" spans="1:4" ht="13.2">
      <c r="A961" s="82"/>
      <c r="B961" s="50"/>
      <c r="D961" s="51"/>
    </row>
    <row r="962" spans="1:4" ht="13.2">
      <c r="A962" s="82"/>
      <c r="B962" s="50"/>
      <c r="D962" s="51"/>
    </row>
    <row r="963" spans="1:4" ht="13.2">
      <c r="A963" s="82"/>
      <c r="B963" s="50"/>
      <c r="D963" s="51"/>
    </row>
    <row r="964" spans="1:4" ht="13.2">
      <c r="A964" s="82"/>
      <c r="B964" s="50"/>
      <c r="D964" s="51"/>
    </row>
    <row r="965" spans="1:4" ht="13.2">
      <c r="A965" s="82"/>
      <c r="B965" s="50"/>
      <c r="D965" s="51"/>
    </row>
    <row r="966" spans="1:4" ht="13.2">
      <c r="A966" s="82"/>
      <c r="B966" s="50"/>
      <c r="D966" s="51"/>
    </row>
    <row r="967" spans="1:4" ht="13.2">
      <c r="A967" s="82"/>
      <c r="B967" s="50"/>
      <c r="D967" s="51"/>
    </row>
    <row r="968" spans="1:4" ht="13.2">
      <c r="A968" s="82"/>
      <c r="B968" s="50"/>
      <c r="D968" s="51"/>
    </row>
    <row r="969" spans="1:4" ht="13.2">
      <c r="A969" s="82"/>
      <c r="B969" s="50"/>
      <c r="D969" s="51"/>
    </row>
    <row r="970" spans="1:4" ht="13.2">
      <c r="A970" s="82"/>
      <c r="B970" s="50"/>
      <c r="D970" s="51"/>
    </row>
    <row r="971" spans="1:4" ht="13.2">
      <c r="A971" s="82"/>
      <c r="B971" s="50"/>
      <c r="D971" s="51"/>
    </row>
    <row r="972" spans="1:4" ht="13.2">
      <c r="A972" s="82"/>
      <c r="B972" s="50"/>
      <c r="D972" s="51"/>
    </row>
  </sheetData>
  <mergeCells count="2">
    <mergeCell ref="A1:E1"/>
    <mergeCell ref="F1:J1"/>
  </mergeCells>
  <hyperlinks>
    <hyperlink ref="B5" r:id="rId1" display="http://robomaker.com.ua/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outlinePr summaryBelow="0" summaryRight="0"/>
    <pageSetUpPr fitToPage="1"/>
  </sheetPr>
  <dimension ref="A1:T1001"/>
  <sheetViews>
    <sheetView tabSelected="1" workbookViewId="0">
      <pane ySplit="2" topLeftCell="A35" activePane="bottomLeft" state="frozen"/>
      <selection pane="bottomLeft" activeCell="E50" sqref="E50"/>
    </sheetView>
  </sheetViews>
  <sheetFormatPr defaultColWidth="14.44140625" defaultRowHeight="15.75" customHeight="1"/>
  <cols>
    <col min="1" max="1" width="11.88671875" customWidth="1"/>
    <col min="2" max="2" width="19.6640625" customWidth="1"/>
    <col min="3" max="3" width="31.109375" customWidth="1"/>
    <col min="4" max="4" width="11.109375" customWidth="1"/>
    <col min="5" max="5" width="14.44140625" style="203"/>
    <col min="6" max="10" width="8.33203125" style="203" customWidth="1"/>
    <col min="11" max="11" width="7.109375" style="203" customWidth="1"/>
    <col min="12" max="12" width="5.33203125" customWidth="1"/>
    <col min="13" max="13" width="7.88671875" customWidth="1"/>
    <col min="14" max="14" width="5.33203125" customWidth="1"/>
    <col min="15" max="15" width="6.88671875" customWidth="1"/>
    <col min="16" max="16" width="5.33203125" customWidth="1"/>
    <col min="17" max="17" width="6.6640625" customWidth="1"/>
    <col min="18" max="18" width="5.33203125" customWidth="1"/>
    <col min="19" max="19" width="10.5546875" customWidth="1"/>
    <col min="20" max="20" width="10.6640625" customWidth="1"/>
  </cols>
  <sheetData>
    <row r="1" spans="1:20" ht="13.2">
      <c r="A1" s="183" t="s">
        <v>37</v>
      </c>
      <c r="B1" s="167"/>
      <c r="C1" s="167"/>
      <c r="D1" s="167"/>
      <c r="E1" s="168"/>
      <c r="F1" s="204" t="s">
        <v>3</v>
      </c>
      <c r="G1" s="205"/>
      <c r="H1" s="205"/>
      <c r="I1" s="205"/>
      <c r="J1" s="205"/>
      <c r="K1" s="206" t="s">
        <v>39</v>
      </c>
      <c r="L1" s="91" t="s">
        <v>40</v>
      </c>
      <c r="M1" s="93" t="s">
        <v>39</v>
      </c>
      <c r="N1" s="91" t="s">
        <v>40</v>
      </c>
      <c r="O1" s="93" t="s">
        <v>39</v>
      </c>
      <c r="P1" s="91" t="s">
        <v>40</v>
      </c>
      <c r="Q1" s="93" t="s">
        <v>39</v>
      </c>
      <c r="R1" s="91" t="s">
        <v>40</v>
      </c>
      <c r="S1" s="95" t="s">
        <v>41</v>
      </c>
      <c r="T1" s="96" t="s">
        <v>42</v>
      </c>
    </row>
    <row r="2" spans="1:20" ht="13.8">
      <c r="A2" s="3" t="s">
        <v>13</v>
      </c>
      <c r="B2" s="9" t="s">
        <v>6</v>
      </c>
      <c r="C2" s="3" t="s">
        <v>7</v>
      </c>
      <c r="D2" s="3" t="s">
        <v>8</v>
      </c>
      <c r="E2" s="207" t="s">
        <v>9</v>
      </c>
      <c r="F2" s="208">
        <v>1</v>
      </c>
      <c r="G2" s="208">
        <v>2</v>
      </c>
      <c r="H2" s="208">
        <v>3</v>
      </c>
      <c r="I2" s="208">
        <v>4</v>
      </c>
      <c r="J2" s="208">
        <v>5</v>
      </c>
      <c r="K2" s="184">
        <v>1</v>
      </c>
      <c r="L2" s="185"/>
      <c r="M2" s="186">
        <v>2</v>
      </c>
      <c r="N2" s="185"/>
      <c r="O2" s="186">
        <v>3</v>
      </c>
      <c r="P2" s="185"/>
      <c r="Q2" s="186">
        <v>4</v>
      </c>
      <c r="R2" s="185"/>
      <c r="S2" s="98">
        <v>1.3</v>
      </c>
      <c r="T2" s="99">
        <v>86400</v>
      </c>
    </row>
    <row r="3" spans="1:20" ht="23.25" customHeight="1">
      <c r="A3" s="23">
        <f ca="1">IFERROR(__xludf.DUMMYFUNCTION("""COMPUTED_VALUE"""),28)</f>
        <v>28</v>
      </c>
      <c r="B3" s="102" t="str">
        <f ca="1">IFERROR(__xludf.DUMMYFUNCTION("""COMPUTED_VALUE"""),"Speedgasm")</f>
        <v>Speedgasm</v>
      </c>
      <c r="C3" s="102" t="str">
        <f ca="1">IFERROR(__xludf.DUMMYFUNCTION("""COMPUTED_VALUE"""),"Club of Robot Masters Szombathely")</f>
        <v>Club of Robot Masters Szombathely</v>
      </c>
      <c r="D3" s="103" t="str">
        <f ca="1">IFERROR(__xludf.DUMMYFUNCTION("""COMPUTED_VALUE"""),"SŠ (15-19 years)")</f>
        <v>SŠ (15-19 years)</v>
      </c>
      <c r="E3" s="209">
        <f>MIN(F3:J3)</f>
        <v>3.4027777777777775E-5</v>
      </c>
      <c r="F3" s="210">
        <f>IF(L3=1,K3/$T$2*$S$2,IF(L3=2,K3/$T$2*$S$2*2,IF(L3="-",IF(K3="","",IF(ISTEXT(K3),K3,K3/$T$2)))))</f>
        <v>3.4027777777777775E-5</v>
      </c>
      <c r="G3" s="211">
        <f>IF(N3=1,M3/$T$2*$S$2,IF(N3=2,M3/$T$2*$S$2*2,IF(N3="-",IF(M3="","",IF(ISTEXT(M3),M3,M3/$T$2)))))</f>
        <v>3.4490740740740742E-5</v>
      </c>
      <c r="H3" s="211" t="str">
        <f>IF(P3=1,O3/$T$2*$S$2,IF(P3=2,O3/$T$2*$S$2*2,IF(P3="-",IF(O3="","",IF(ISTEXT(O3),O3,O3/$T$2)))))</f>
        <v/>
      </c>
      <c r="I3" s="211" t="str">
        <f>IF(R3=1,Q3/$T$2*$S$2,IF(R3=2,Q3/$T$2*$S$2*2,IF(R3="-",IF(Q3="","",IF(ISTEXT(Q3),Q3,Q3/$T$2)))))</f>
        <v/>
      </c>
      <c r="J3" s="212">
        <v>4.1666666666666664E-2</v>
      </c>
      <c r="K3" s="213">
        <v>2.94</v>
      </c>
      <c r="L3" s="107" t="s">
        <v>44</v>
      </c>
      <c r="M3" s="220">
        <v>2.98</v>
      </c>
      <c r="N3" s="107" t="s">
        <v>44</v>
      </c>
      <c r="O3" s="109"/>
      <c r="P3" s="107" t="s">
        <v>44</v>
      </c>
      <c r="Q3" s="109"/>
      <c r="R3" s="107" t="s">
        <v>44</v>
      </c>
    </row>
    <row r="4" spans="1:20" ht="22.5" customHeight="1">
      <c r="A4" s="15">
        <f ca="1">IFERROR(__xludf.DUMMYFUNCTION("""COMPUTED_VALUE"""),19)</f>
        <v>19</v>
      </c>
      <c r="B4" s="112" t="str">
        <f ca="1">IFERROR(__xludf.DUMMYFUNCTION("""COMPUTED_VALUE"""),"ERA")</f>
        <v>ERA</v>
      </c>
      <c r="C4" s="110" t="str">
        <f ca="1">IFERROR(__xludf.DUMMYFUNCTION("""COMPUTED_VALUE"""),"Klub sportovní robotiky ""RoboMaker"" Bilohorodka (UA)")</f>
        <v>Klub sportovní robotiky "RoboMaker" Bilohorodka (UA)</v>
      </c>
      <c r="D4" s="111" t="str">
        <f ca="1">IFERROR(__xludf.DUMMYFUNCTION("""COMPUTED_VALUE"""),"ZŠ")</f>
        <v>ZŠ</v>
      </c>
      <c r="E4" s="209">
        <f>MIN(F4:J4)</f>
        <v>3.4606481481481482E-5</v>
      </c>
      <c r="F4" s="210">
        <f>IF(L4=1,K4/$T$2*$S$2,IF(L4=2,K4/$T$2*$S$2*2,IF(L4="-",IF(K4="","",IF(ISTEXT(K4),K4,K4/$T$2)))))</f>
        <v>3.4606481481481482E-5</v>
      </c>
      <c r="G4" s="211" t="str">
        <f>IF(N4=1,M4/$T$2*$S$2,IF(N4=2,M4/$T$2*$S$2*2,IF(N4="-",IF(M4="","",IF(ISTEXT(M4),M4,M4/$T$2)))))</f>
        <v>dnf</v>
      </c>
      <c r="H4" s="211" t="str">
        <f>IF(P4=1,O4/$T$2*$S$2,IF(P4=2,O4/$T$2*$S$2*2,IF(P4="-",IF(O4="","",IF(ISTEXT(O4),O4,O4/$T$2)))))</f>
        <v/>
      </c>
      <c r="I4" s="211" t="str">
        <f>IF(R4=1,Q4/$T$2*$S$2,IF(R4=2,Q4/$T$2*$S$2*2,IF(R4="-",IF(Q4="","",IF(ISTEXT(Q4),Q4,Q4/$T$2)))))</f>
        <v/>
      </c>
      <c r="J4" s="212">
        <v>4.1666666666666664E-2</v>
      </c>
      <c r="K4" s="213">
        <v>2.99</v>
      </c>
      <c r="L4" s="107" t="s">
        <v>44</v>
      </c>
      <c r="M4" s="220" t="s">
        <v>48</v>
      </c>
      <c r="N4" s="107" t="s">
        <v>44</v>
      </c>
      <c r="O4" s="109"/>
      <c r="P4" s="107" t="s">
        <v>44</v>
      </c>
      <c r="Q4" s="109"/>
      <c r="R4" s="107" t="s">
        <v>44</v>
      </c>
    </row>
    <row r="5" spans="1:20" ht="27.6">
      <c r="A5" s="15">
        <f ca="1">IFERROR(__xludf.DUMMYFUNCTION("""COMPUTED_VALUE"""),20)</f>
        <v>20</v>
      </c>
      <c r="B5" s="112" t="str">
        <f ca="1">IFERROR(__xludf.DUMMYFUNCTION("""COMPUTED_VALUE"""),"RoboMaker.com.UA")</f>
        <v>RoboMaker.com.UA</v>
      </c>
      <c r="C5" s="110" t="str">
        <f ca="1">IFERROR(__xludf.DUMMYFUNCTION("""COMPUTED_VALUE"""),"Klub sportovní robotiky ""RoboMaker"" Kyjev (UA)")</f>
        <v>Klub sportovní robotiky "RoboMaker" Kyjev (UA)</v>
      </c>
      <c r="D5" s="111" t="str">
        <f ca="1">IFERROR(__xludf.DUMMYFUNCTION("""COMPUTED_VALUE"""),"ZŠ")</f>
        <v>ZŠ</v>
      </c>
      <c r="E5" s="209">
        <f>MIN(F5:J5)</f>
        <v>3.8657407407407404E-5</v>
      </c>
      <c r="F5" s="210">
        <f>IF(L5=1,K5/$T$2*$S$2,IF(L5=2,K5/$T$2*$S$2*2,IF(L5="-",IF(K5="","",IF(ISTEXT(K5),K5,K5/$T$2)))))</f>
        <v>4.9652777777777775E-5</v>
      </c>
      <c r="G5" s="211">
        <f>IF(N5=1,M5/$T$2*$S$2,IF(N5=2,M5/$T$2*$S$2*2,IF(N5="-",IF(M5="","",IF(ISTEXT(M5),M5,M5/$T$2)))))</f>
        <v>3.8657407407407404E-5</v>
      </c>
      <c r="H5" s="211" t="str">
        <f>IF(P5=1,O5/$T$2*$S$2,IF(P5=2,O5/$T$2*$S$2*2,IF(P5="-",IF(O5="","",IF(ISTEXT(O5),O5,O5/$T$2)))))</f>
        <v/>
      </c>
      <c r="I5" s="211" t="str">
        <f>IF(R5=1,Q5/$T$2*$S$2,IF(R5=2,Q5/$T$2*$S$2*2,IF(R5="-",IF(Q5="","",IF(ISTEXT(Q5),Q5,Q5/$T$2)))))</f>
        <v/>
      </c>
      <c r="J5" s="212">
        <v>4.1666666666666664E-2</v>
      </c>
      <c r="K5" s="213">
        <v>3.3</v>
      </c>
      <c r="L5" s="107">
        <v>1</v>
      </c>
      <c r="M5" s="220">
        <v>3.34</v>
      </c>
      <c r="N5" s="107" t="s">
        <v>44</v>
      </c>
      <c r="O5" s="109"/>
      <c r="P5" s="107" t="s">
        <v>44</v>
      </c>
      <c r="Q5" s="109"/>
      <c r="R5" s="107" t="s">
        <v>44</v>
      </c>
    </row>
    <row r="6" spans="1:20" ht="27.6">
      <c r="A6" s="15">
        <f ca="1">IFERROR(__xludf.DUMMYFUNCTION("""COMPUTED_VALUE"""),22)</f>
        <v>22</v>
      </c>
      <c r="B6" s="112" t="str">
        <f ca="1">IFERROR(__xludf.DUMMYFUNCTION("""COMPUTED_VALUE"""),"Kiborgs")</f>
        <v>Kiborgs</v>
      </c>
      <c r="C6" s="110" t="str">
        <f ca="1">IFERROR(__xludf.DUMMYFUNCTION("""COMPUTED_VALUE"""),"Lucenkovo Čerkaské gymnázium №9 (UA)")</f>
        <v>Lucenkovo Čerkaské gymnázium №9 (UA)</v>
      </c>
      <c r="D6" s="111" t="str">
        <f ca="1">IFERROR(__xludf.DUMMYFUNCTION("""COMPUTED_VALUE"""),"SŠ")</f>
        <v>SŠ</v>
      </c>
      <c r="E6" s="209">
        <f>MIN(F6:J6)</f>
        <v>3.8773148148148151E-5</v>
      </c>
      <c r="F6" s="210">
        <f>IF(L6=1,K6/$T$2*$S$2,IF(L6=2,K6/$T$2*$S$2*2,IF(L6="-",IF(K6="","",IF(ISTEXT(K6),K6,K6/$T$2)))))</f>
        <v>3.8773148148148151E-5</v>
      </c>
      <c r="G6" s="211">
        <f>IF(N6=1,M6/$T$2*$S$2,IF(N6=2,M6/$T$2*$S$2*2,IF(N6="-",IF(M6="","",IF(ISTEXT(M6),M6,M6/$T$2)))))</f>
        <v>3.9120370370370371E-5</v>
      </c>
      <c r="H6" s="211" t="str">
        <f>IF(P6=1,O6/$T$2*$S$2,IF(P6=2,O6/$T$2*$S$2*2,IF(P6="-",IF(O6="","",IF(ISTEXT(O6),O6,O6/$T$2)))))</f>
        <v/>
      </c>
      <c r="I6" s="211" t="str">
        <f>IF(R6=1,Q6/$T$2*$S$2,IF(R6=2,Q6/$T$2*$S$2*2,IF(R6="-",IF(Q6="","",IF(ISTEXT(Q6),Q6,Q6/$T$2)))))</f>
        <v/>
      </c>
      <c r="J6" s="212">
        <v>4.1666666666666664E-2</v>
      </c>
      <c r="K6" s="213">
        <v>3.35</v>
      </c>
      <c r="L6" s="107" t="s">
        <v>44</v>
      </c>
      <c r="M6" s="220">
        <v>3.38</v>
      </c>
      <c r="N6" s="107" t="s">
        <v>44</v>
      </c>
      <c r="O6" s="109"/>
      <c r="P6" s="107" t="s">
        <v>44</v>
      </c>
      <c r="Q6" s="109"/>
      <c r="R6" s="107" t="s">
        <v>44</v>
      </c>
    </row>
    <row r="7" spans="1:20" ht="13.8">
      <c r="A7" s="15">
        <f ca="1">IFERROR(__xludf.DUMMYFUNCTION("""COMPUTED_VALUE"""),107)</f>
        <v>107</v>
      </c>
      <c r="B7" s="112" t="str">
        <f ca="1">IFERROR(__xludf.DUMMYFUNCTION("""COMPUTED_VALUE"""),"projekt Theodor")</f>
        <v>projekt Theodor</v>
      </c>
      <c r="C7" s="120" t="str">
        <f ca="1">IFERROR(__xludf.DUMMYFUNCTION("""COMPUTED_VALUE"""),"SVČ Opava")</f>
        <v>SVČ Opava</v>
      </c>
      <c r="D7" s="111" t="str">
        <f ca="1">IFERROR(__xludf.DUMMYFUNCTION("""COMPUTED_VALUE"""),"ZŠ")</f>
        <v>ZŠ</v>
      </c>
      <c r="E7" s="209">
        <f>MIN(F7:J7)</f>
        <v>4.0023148148148154E-5</v>
      </c>
      <c r="F7" s="210">
        <f>IF(L7=1,K7/$T$2*$S$2,IF(L7=2,K7/$T$2*$S$2*2,IF(L7="-",IF(K7="","",IF(ISTEXT(K7),K7,K7/$T$2)))))</f>
        <v>4.0023148148148154E-5</v>
      </c>
      <c r="G7" s="211">
        <f>IF(N7=1,M7/$T$2*$S$2,IF(N7=2,M7/$T$2*$S$2*2,IF(N7="-",IF(M7="","",IF(ISTEXT(M7),M7,M7/$T$2)))))</f>
        <v>4.2581018518518517E-5</v>
      </c>
      <c r="H7" s="211" t="str">
        <f>IF(P7=1,O7/$T$2*$S$2,IF(P7=2,O7/$T$2*$S$2*2,IF(P7="-",IF(O7="","",IF(ISTEXT(O7),O7,O7/$T$2)))))</f>
        <v/>
      </c>
      <c r="I7" s="211" t="str">
        <f>IF(R7=1,Q7/$T$2*$S$2,IF(R7=2,Q7/$T$2*$S$2*2,IF(R7="-",IF(Q7="","",IF(ISTEXT(Q7),Q7,Q7/$T$2)))))</f>
        <v/>
      </c>
      <c r="J7" s="212">
        <v>4.1666666666666664E-2</v>
      </c>
      <c r="K7" s="213">
        <v>2.66</v>
      </c>
      <c r="L7" s="107">
        <v>1</v>
      </c>
      <c r="M7" s="220">
        <v>2.83</v>
      </c>
      <c r="N7" s="107">
        <v>1</v>
      </c>
      <c r="O7" s="109"/>
      <c r="P7" s="107" t="s">
        <v>44</v>
      </c>
      <c r="Q7" s="109"/>
      <c r="R7" s="107" t="s">
        <v>44</v>
      </c>
    </row>
    <row r="8" spans="1:20" ht="27.6">
      <c r="A8" s="34">
        <f ca="1">IFERROR(__xludf.DUMMYFUNCTION("""COMPUTED_VALUE"""),23)</f>
        <v>23</v>
      </c>
      <c r="B8" s="112" t="str">
        <f ca="1">IFERROR(__xludf.DUMMYFUNCTION("""COMPUTED_VALUE"""),"KiborgsUA")</f>
        <v>KiborgsUA</v>
      </c>
      <c r="C8" s="110" t="str">
        <f ca="1">IFERROR(__xludf.DUMMYFUNCTION("""COMPUTED_VALUE"""),"Lucenkovo Čerkaské gymnázium №9 (UA)")</f>
        <v>Lucenkovo Čerkaské gymnázium №9 (UA)</v>
      </c>
      <c r="D8" s="111" t="str">
        <f ca="1">IFERROR(__xludf.DUMMYFUNCTION("""COMPUTED_VALUE"""),"ZŠ")</f>
        <v>ZŠ</v>
      </c>
      <c r="E8" s="209">
        <f>MIN(F8:J8)</f>
        <v>4.1087962962962958E-5</v>
      </c>
      <c r="F8" s="210">
        <f>IF(L8=1,K8/$T$2*$S$2,IF(L8=2,K8/$T$2*$S$2*2,IF(L8="-",IF(K8="","",IF(ISTEXT(K8),K8,K8/$T$2)))))</f>
        <v>4.1087962962962958E-5</v>
      </c>
      <c r="G8" s="211" t="str">
        <f>IF(N8=1,M8/$T$2*$S$2,IF(N8=2,M8/$T$2*$S$2*2,IF(N8="-",IF(M8="","",IF(ISTEXT(M8),M8,M8/$T$2)))))</f>
        <v>dnf</v>
      </c>
      <c r="H8" s="211" t="str">
        <f>IF(P8=1,O8/$T$2*$S$2,IF(P8=2,O8/$T$2*$S$2*2,IF(P8="-",IF(O8="","",IF(ISTEXT(O8),O8,O8/$T$2)))))</f>
        <v/>
      </c>
      <c r="I8" s="211" t="str">
        <f>IF(R8=1,Q8/$T$2*$S$2,IF(R8=2,Q8/$T$2*$S$2*2,IF(R8="-",IF(Q8="","",IF(ISTEXT(Q8),Q8,Q8/$T$2)))))</f>
        <v/>
      </c>
      <c r="J8" s="212">
        <v>4.1666666666666664E-2</v>
      </c>
      <c r="K8" s="213">
        <v>3.55</v>
      </c>
      <c r="L8" s="107" t="s">
        <v>44</v>
      </c>
      <c r="M8" s="220" t="s">
        <v>48</v>
      </c>
      <c r="N8" s="107" t="s">
        <v>44</v>
      </c>
      <c r="O8" s="109"/>
      <c r="P8" s="107" t="s">
        <v>44</v>
      </c>
      <c r="Q8" s="109"/>
      <c r="R8" s="107" t="s">
        <v>44</v>
      </c>
      <c r="S8" s="157" t="s">
        <v>19</v>
      </c>
    </row>
    <row r="9" spans="1:20" ht="13.8">
      <c r="A9" s="15">
        <f ca="1">IFERROR(__xludf.DUMMYFUNCTION("""COMPUTED_VALUE"""),71)</f>
        <v>71</v>
      </c>
      <c r="B9" s="112" t="str">
        <f ca="1">IFERROR(__xludf.DUMMYFUNCTION("""COMPUTED_VALUE"""),"Programmers")</f>
        <v>Programmers</v>
      </c>
      <c r="C9" s="120" t="str">
        <f ca="1">IFERROR(__xludf.DUMMYFUNCTION("""COMPUTED_VALUE"""),"ZŠ Nové Zámky, Nábrežná 95,")</f>
        <v>ZŠ Nové Zámky, Nábrežná 95,</v>
      </c>
      <c r="D9" s="111" t="str">
        <f ca="1">IFERROR(__xludf.DUMMYFUNCTION("""COMPUTED_VALUE"""),"ZŠ")</f>
        <v>ZŠ</v>
      </c>
      <c r="E9" s="209">
        <f>MIN(F9:J9)</f>
        <v>4.1203703703703705E-5</v>
      </c>
      <c r="F9" s="210">
        <f>IF(L9=1,K9/$T$2*$S$2,IF(L9=2,K9/$T$2*$S$2*2,IF(L9="-",IF(K9="","",IF(ISTEXT(K9),K9,K9/$T$2)))))</f>
        <v>4.1898148148148152E-5</v>
      </c>
      <c r="G9" s="211">
        <f>IF(N9=1,M9/$T$2*$S$2,IF(N9=2,M9/$T$2*$S$2*2,IF(N9="-",IF(M9="","",IF(ISTEXT(M9),M9,M9/$T$2)))))</f>
        <v>4.1203703703703705E-5</v>
      </c>
      <c r="H9" s="211" t="str">
        <f>IF(P9=1,O9/$T$2*$S$2,IF(P9=2,O9/$T$2*$S$2*2,IF(P9="-",IF(O9="","",IF(ISTEXT(O9),O9,O9/$T$2)))))</f>
        <v/>
      </c>
      <c r="I9" s="211" t="str">
        <f>IF(R9=1,Q9/$T$2*$S$2,IF(R9=2,Q9/$T$2*$S$2*2,IF(R9="-",IF(Q9="","",IF(ISTEXT(Q9),Q9,Q9/$T$2)))))</f>
        <v/>
      </c>
      <c r="J9" s="212">
        <v>4.1666666666666664E-2</v>
      </c>
      <c r="K9" s="213">
        <v>3.62</v>
      </c>
      <c r="L9" s="107" t="s">
        <v>44</v>
      </c>
      <c r="M9" s="220">
        <v>3.56</v>
      </c>
      <c r="N9" s="107" t="s">
        <v>44</v>
      </c>
      <c r="O9" s="109"/>
      <c r="P9" s="107" t="s">
        <v>44</v>
      </c>
      <c r="Q9" s="109"/>
      <c r="R9" s="107" t="s">
        <v>44</v>
      </c>
    </row>
    <row r="10" spans="1:20" ht="27.6">
      <c r="A10" s="34">
        <f ca="1">IFERROR(__xludf.DUMMYFUNCTION("""COMPUTED_VALUE"""),158)</f>
        <v>158</v>
      </c>
      <c r="B10" s="112" t="str">
        <f ca="1">IFERROR(__xludf.DUMMYFUNCTION("""COMPUTED_VALUE"""),"Zeus")</f>
        <v>Zeus</v>
      </c>
      <c r="C10" s="110" t="str">
        <f ca="1">IFERROR(__xludf.DUMMYFUNCTION("""COMPUTED_VALUE"""),"Základná škola, Trieda SNP 20, Banská Bystrica")</f>
        <v>Základná škola, Trieda SNP 20, Banská Bystrica</v>
      </c>
      <c r="D10" s="111" t="str">
        <f ca="1">IFERROR(__xludf.DUMMYFUNCTION("""COMPUTED_VALUE"""),"ZŠ")</f>
        <v>ZŠ</v>
      </c>
      <c r="E10" s="209">
        <f>MIN(F10:J10)</f>
        <v>4.1550925925925925E-5</v>
      </c>
      <c r="F10" s="210">
        <f>IF(L10=1,K10/$T$2*$S$2,IF(L10=2,K10/$T$2*$S$2*2,IF(L10="-",IF(K10="","",IF(ISTEXT(K10),K10,K10/$T$2)))))</f>
        <v>4.1550925925925925E-5</v>
      </c>
      <c r="G10" s="211">
        <f>IF(N10=1,M10/$T$2*$S$2,IF(N10=2,M10/$T$2*$S$2*2,IF(N10="-",IF(M10="","",IF(ISTEXT(M10),M10,M10/$T$2)))))</f>
        <v>5.5219907407407407E-5</v>
      </c>
      <c r="H10" s="211" t="str">
        <f>IF(P10=1,O10/$T$2*$S$2,IF(P10=2,O10/$T$2*$S$2*2,IF(P10="-",IF(O10="","",IF(ISTEXT(O10),O10,O10/$T$2)))))</f>
        <v/>
      </c>
      <c r="I10" s="211" t="str">
        <f>IF(R10=1,Q10/$T$2*$S$2,IF(R10=2,Q10/$T$2*$S$2*2,IF(R10="-",IF(Q10="","",IF(ISTEXT(Q10),Q10,Q10/$T$2)))))</f>
        <v/>
      </c>
      <c r="J10" s="212">
        <v>4.1666666666666664E-2</v>
      </c>
      <c r="K10" s="213">
        <v>3.59</v>
      </c>
      <c r="L10" s="107" t="s">
        <v>44</v>
      </c>
      <c r="M10" s="220">
        <v>3.67</v>
      </c>
      <c r="N10" s="107">
        <v>1</v>
      </c>
      <c r="O10" s="109"/>
      <c r="P10" s="107" t="s">
        <v>44</v>
      </c>
      <c r="Q10" s="109"/>
      <c r="R10" s="107" t="s">
        <v>44</v>
      </c>
    </row>
    <row r="11" spans="1:20" ht="13.8">
      <c r="A11" s="15">
        <f ca="1">IFERROR(__xludf.DUMMYFUNCTION("""COMPUTED_VALUE"""),142)</f>
        <v>142</v>
      </c>
      <c r="B11" s="112" t="str">
        <f ca="1">IFERROR(__xludf.DUMMYFUNCTION("""COMPUTED_VALUE"""),"M.O.K.O")</f>
        <v>M.O.K.O</v>
      </c>
      <c r="C11" s="110" t="str">
        <f ca="1">IFERROR(__xludf.DUMMYFUNCTION("""COMPUTED_VALUE"""),"SPŠ Karviná")</f>
        <v>SPŠ Karviná</v>
      </c>
      <c r="D11" s="111" t="str">
        <f ca="1">IFERROR(__xludf.DUMMYFUNCTION("""COMPUTED_VALUE"""),"SŠ")</f>
        <v>SŠ</v>
      </c>
      <c r="E11" s="209">
        <f>MIN(F11:J11)</f>
        <v>4.3055555555555559E-5</v>
      </c>
      <c r="F11" s="210">
        <f>IF(L11=1,K11/$T$2*$S$2,IF(L11=2,K11/$T$2*$S$2*2,IF(L11="-",IF(K11="","",IF(ISTEXT(K11),K11,K11/$T$2)))))</f>
        <v>4.375E-5</v>
      </c>
      <c r="G11" s="211">
        <f>IF(N11=1,M11/$T$2*$S$2,IF(N11=2,M11/$T$2*$S$2*2,IF(N11="-",IF(M11="","",IF(ISTEXT(M11),M11,M11/$T$2)))))</f>
        <v>4.3055555555555559E-5</v>
      </c>
      <c r="H11" s="211" t="str">
        <f>IF(P11=1,O11/$T$2*$S$2,IF(P11=2,O11/$T$2*$S$2*2,IF(P11="-",IF(O11="","",IF(ISTEXT(O11),O11,O11/$T$2)))))</f>
        <v/>
      </c>
      <c r="I11" s="211" t="str">
        <f>IF(R11=1,Q11/$T$2*$S$2,IF(R11=2,Q11/$T$2*$S$2*2,IF(R11="-",IF(Q11="","",IF(ISTEXT(Q11),Q11,Q11/$T$2)))))</f>
        <v/>
      </c>
      <c r="J11" s="212">
        <v>4.1666666666666664E-2</v>
      </c>
      <c r="K11" s="213">
        <v>3.78</v>
      </c>
      <c r="L11" s="107" t="s">
        <v>44</v>
      </c>
      <c r="M11" s="220">
        <v>3.72</v>
      </c>
      <c r="N11" s="107" t="s">
        <v>44</v>
      </c>
      <c r="O11" s="109"/>
      <c r="P11" s="107" t="s">
        <v>44</v>
      </c>
      <c r="Q11" s="109"/>
      <c r="R11" s="107" t="s">
        <v>44</v>
      </c>
    </row>
    <row r="12" spans="1:20" ht="13.8">
      <c r="A12" s="15">
        <f ca="1">IFERROR(__xludf.DUMMYFUNCTION("""COMPUTED_VALUE"""),114)</f>
        <v>114</v>
      </c>
      <c r="B12" s="112" t="str">
        <f ca="1">IFERROR(__xludf.DUMMYFUNCTION("""COMPUTED_VALUE"""),"Hradečtí baráčníci")</f>
        <v>Hradečtí baráčníci</v>
      </c>
      <c r="C12" s="121" t="str">
        <f ca="1">IFERROR(__xludf.DUMMYFUNCTION("""COMPUTED_VALUE"""),"DDM Hradec Králové")</f>
        <v>DDM Hradec Králové</v>
      </c>
      <c r="D12" s="111" t="str">
        <f ca="1">IFERROR(__xludf.DUMMYFUNCTION("""COMPUTED_VALUE"""),"ZŠ")</f>
        <v>ZŠ</v>
      </c>
      <c r="E12" s="209">
        <f>MIN(F12:J12)</f>
        <v>4.4560185185185187E-5</v>
      </c>
      <c r="F12" s="210">
        <f>IF(L12=1,K12/$T$2*$S$2,IF(L12=2,K12/$T$2*$S$2*2,IF(L12="-",IF(K12="","",IF(ISTEXT(K12),K12,K12/$T$2)))))</f>
        <v>5.7326388888888885E-5</v>
      </c>
      <c r="G12" s="211">
        <f>IF(N12=1,M12/$T$2*$S$2,IF(N12=2,M12/$T$2*$S$2*2,IF(N12="-",IF(M12="","",IF(ISTEXT(M12),M12,M12/$T$2)))))</f>
        <v>4.4560185185185187E-5</v>
      </c>
      <c r="H12" s="211" t="str">
        <f>IF(P12=1,O12/$T$2*$S$2,IF(P12=2,O12/$T$2*$S$2*2,IF(P12="-",IF(O12="","",IF(ISTEXT(O12),O12,O12/$T$2)))))</f>
        <v/>
      </c>
      <c r="I12" s="211" t="str">
        <f>IF(R12=1,Q12/$T$2*$S$2,IF(R12=2,Q12/$T$2*$S$2*2,IF(R12="-",IF(Q12="","",IF(ISTEXT(Q12),Q12,Q12/$T$2)))))</f>
        <v/>
      </c>
      <c r="J12" s="212">
        <v>4.1666666666666664E-2</v>
      </c>
      <c r="K12" s="213">
        <v>3.81</v>
      </c>
      <c r="L12" s="107">
        <v>1</v>
      </c>
      <c r="M12" s="220">
        <v>3.85</v>
      </c>
      <c r="N12" s="107" t="s">
        <v>44</v>
      </c>
      <c r="O12" s="109"/>
      <c r="P12" s="107" t="s">
        <v>44</v>
      </c>
      <c r="Q12" s="109"/>
      <c r="R12" s="107" t="s">
        <v>44</v>
      </c>
    </row>
    <row r="13" spans="1:20" ht="13.8">
      <c r="A13" s="15">
        <f ca="1">IFERROR(__xludf.DUMMYFUNCTION("""COMPUTED_VALUE"""),76)</f>
        <v>76</v>
      </c>
      <c r="B13" s="112" t="str">
        <f ca="1">IFERROR(__xludf.DUMMYFUNCTION("""COMPUTED_VALUE"""),"Tým 4")</f>
        <v>Tým 4</v>
      </c>
      <c r="C13" s="110" t="str">
        <f ca="1">IFERROR(__xludf.DUMMYFUNCTION("""COMPUTED_VALUE"""),"Jiráskovo gymnázium Náchod")</f>
        <v>Jiráskovo gymnázium Náchod</v>
      </c>
      <c r="D13" s="111" t="str">
        <f ca="1">IFERROR(__xludf.DUMMYFUNCTION("""COMPUTED_VALUE"""),"ZŠ")</f>
        <v>ZŠ</v>
      </c>
      <c r="E13" s="209">
        <f>MIN(F13:J13)</f>
        <v>4.6527777777777774E-5</v>
      </c>
      <c r="F13" s="210">
        <f>IF(L13=1,K13/$T$2*$S$2,IF(L13=2,K13/$T$2*$S$2*2,IF(L13="-",IF(K13="","",IF(ISTEXT(K13),K13,K13/$T$2)))))</f>
        <v>4.6527777777777774E-5</v>
      </c>
      <c r="G13" s="211">
        <f>IF(N13=1,M13/$T$2*$S$2,IF(N13=2,M13/$T$2*$S$2*2,IF(N13="-",IF(M13="","",IF(ISTEXT(M13),M13,M13/$T$2)))))</f>
        <v>4.7800925925925928E-5</v>
      </c>
      <c r="H13" s="211" t="str">
        <f>IF(P13=1,O13/$T$2*$S$2,IF(P13=2,O13/$T$2*$S$2*2,IF(P13="-",IF(O13="","",IF(ISTEXT(O13),O13,O13/$T$2)))))</f>
        <v/>
      </c>
      <c r="I13" s="211" t="str">
        <f>IF(R13=1,Q13/$T$2*$S$2,IF(R13=2,Q13/$T$2*$S$2*2,IF(R13="-",IF(Q13="","",IF(ISTEXT(Q13),Q13,Q13/$T$2)))))</f>
        <v/>
      </c>
      <c r="J13" s="212">
        <v>4.1666666666666664E-2</v>
      </c>
      <c r="K13" s="213">
        <v>4.0199999999999996</v>
      </c>
      <c r="L13" s="107" t="s">
        <v>44</v>
      </c>
      <c r="M13" s="220">
        <v>4.13</v>
      </c>
      <c r="N13" s="107" t="s">
        <v>44</v>
      </c>
      <c r="O13" s="109"/>
      <c r="P13" s="107" t="s">
        <v>44</v>
      </c>
      <c r="Q13" s="109"/>
      <c r="R13" s="107" t="s">
        <v>44</v>
      </c>
    </row>
    <row r="14" spans="1:20" ht="13.8">
      <c r="A14" s="15">
        <f ca="1">IFERROR(__xludf.DUMMYFUNCTION("""COMPUTED_VALUE"""),145)</f>
        <v>145</v>
      </c>
      <c r="B14" s="112" t="str">
        <f ca="1">IFERROR(__xludf.DUMMYFUNCTION("""COMPUTED_VALUE"""),"Yeeters")</f>
        <v>Yeeters</v>
      </c>
      <c r="C14" s="120" t="str">
        <f ca="1">IFERROR(__xludf.DUMMYFUNCTION("""COMPUTED_VALUE"""),"SPŠ Rakovník Emila Kolbena")</f>
        <v>SPŠ Rakovník Emila Kolbena</v>
      </c>
      <c r="D14" s="111" t="str">
        <f ca="1">IFERROR(__xludf.DUMMYFUNCTION("""COMPUTED_VALUE"""),"SŠ")</f>
        <v>SŠ</v>
      </c>
      <c r="E14" s="209">
        <f>MIN(F14:J14)</f>
        <v>4.7222222222222221E-5</v>
      </c>
      <c r="F14" s="210">
        <f>IF(L14=1,K14/$T$2*$S$2,IF(L14=2,K14/$T$2*$S$2*2,IF(L14="-",IF(K14="","",IF(ISTEXT(K14),K14,K14/$T$2)))))</f>
        <v>4.7337962962962961E-5</v>
      </c>
      <c r="G14" s="211">
        <f>IF(N14=1,M14/$T$2*$S$2,IF(N14=2,M14/$T$2*$S$2*2,IF(N14="-",IF(M14="","",IF(ISTEXT(M14),M14,M14/$T$2)))))</f>
        <v>4.7222222222222221E-5</v>
      </c>
      <c r="H14" s="211" t="str">
        <f>IF(P14=1,O14/$T$2*$S$2,IF(P14=2,O14/$T$2*$S$2*2,IF(P14="-",IF(O14="","",IF(ISTEXT(O14),O14,O14/$T$2)))))</f>
        <v/>
      </c>
      <c r="I14" s="211" t="str">
        <f>IF(R14=1,Q14/$T$2*$S$2,IF(R14=2,Q14/$T$2*$S$2*2,IF(R14="-",IF(Q14="","",IF(ISTEXT(Q14),Q14,Q14/$T$2)))))</f>
        <v/>
      </c>
      <c r="J14" s="212">
        <v>4.1666666666666664E-2</v>
      </c>
      <c r="K14" s="213">
        <v>4.09</v>
      </c>
      <c r="L14" s="107" t="s">
        <v>44</v>
      </c>
      <c r="M14" s="220">
        <v>4.08</v>
      </c>
      <c r="N14" s="107" t="s">
        <v>44</v>
      </c>
      <c r="O14" s="109"/>
      <c r="P14" s="107" t="s">
        <v>44</v>
      </c>
      <c r="Q14" s="109"/>
      <c r="R14" s="107" t="s">
        <v>44</v>
      </c>
    </row>
    <row r="15" spans="1:20" ht="18.75" customHeight="1">
      <c r="A15" s="15">
        <f ca="1">IFERROR(__xludf.DUMMYFUNCTION("""COMPUTED_VALUE"""),12)</f>
        <v>12</v>
      </c>
      <c r="B15" s="112" t="str">
        <f ca="1">IFERROR(__xludf.DUMMYFUNCTION("""COMPUTED_VALUE"""),"Robo orange")</f>
        <v>Robo orange</v>
      </c>
      <c r="C15" s="110" t="str">
        <f ca="1">IFERROR(__xludf.DUMMYFUNCTION("""COMPUTED_VALUE"""),"Gymnázium Brno, Vídeňská")</f>
        <v>Gymnázium Brno, Vídeňská</v>
      </c>
      <c r="D15" s="111" t="str">
        <f ca="1">IFERROR(__xludf.DUMMYFUNCTION("""COMPUTED_VALUE"""),"ZŠ")</f>
        <v>ZŠ</v>
      </c>
      <c r="E15" s="209">
        <f>MIN(F15:J15)</f>
        <v>4.7916666666666661E-5</v>
      </c>
      <c r="F15" s="210" t="str">
        <f>IF(L15=1,K15/$T$2*$S$2,IF(L15=2,K15/$T$2*$S$2*2,IF(L15="-",IF(K15="","",IF(ISTEXT(K15),K15,K15/$T$2)))))</f>
        <v>DNF</v>
      </c>
      <c r="G15" s="211">
        <f>IF(N15=1,M15/$T$2*$S$2,IF(N15=2,M15/$T$2*$S$2*2,IF(N15="-",IF(M15="","",IF(ISTEXT(M15),M15,M15/$T$2)))))</f>
        <v>4.7916666666666661E-5</v>
      </c>
      <c r="H15" s="211" t="str">
        <f>IF(P15=1,O15/$T$2*$S$2,IF(P15=2,O15/$T$2*$S$2*2,IF(P15="-",IF(O15="","",IF(ISTEXT(O15),O15,O15/$T$2)))))</f>
        <v/>
      </c>
      <c r="I15" s="211" t="str">
        <f>IF(R15=1,Q15/$T$2*$S$2,IF(R15=2,Q15/$T$2*$S$2*2,IF(R15="-",IF(Q15="","",IF(ISTEXT(Q15),Q15,Q15/$T$2)))))</f>
        <v/>
      </c>
      <c r="J15" s="212">
        <v>4.1666666666666664E-2</v>
      </c>
      <c r="K15" s="213" t="s">
        <v>43</v>
      </c>
      <c r="L15" s="107" t="s">
        <v>44</v>
      </c>
      <c r="M15" s="220">
        <v>4.1399999999999997</v>
      </c>
      <c r="N15" s="107" t="s">
        <v>44</v>
      </c>
      <c r="O15" s="109"/>
      <c r="P15" s="107" t="s">
        <v>44</v>
      </c>
      <c r="Q15" s="109"/>
      <c r="R15" s="107" t="s">
        <v>44</v>
      </c>
    </row>
    <row r="16" spans="1:20" ht="13.8">
      <c r="A16" s="15">
        <f ca="1">IFERROR(__xludf.DUMMYFUNCTION("""COMPUTED_VALUE"""),118)</f>
        <v>118</v>
      </c>
      <c r="B16" s="112" t="str">
        <f ca="1">IFERROR(__xludf.DUMMYFUNCTION("""COMPUTED_VALUE"""),"Combat Wombat")</f>
        <v>Combat Wombat</v>
      </c>
      <c r="C16" s="110" t="str">
        <f ca="1">IFERROR(__xludf.DUMMYFUNCTION("""COMPUTED_VALUE"""),"Gymnázium Jakuba Škody")</f>
        <v>Gymnázium Jakuba Škody</v>
      </c>
      <c r="D16" s="111" t="str">
        <f ca="1">IFERROR(__xludf.DUMMYFUNCTION("""COMPUTED_VALUE"""),"SŠ")</f>
        <v>SŠ</v>
      </c>
      <c r="E16" s="209">
        <f>MIN(F16:J16)</f>
        <v>4.8263888888888888E-5</v>
      </c>
      <c r="F16" s="210">
        <f>IF(L16=1,K16/$T$2*$S$2,IF(L16=2,K16/$T$2*$S$2*2,IF(L16="-",IF(K16="","",IF(ISTEXT(K16),K16,K16/$T$2)))))</f>
        <v>4.8263888888888888E-5</v>
      </c>
      <c r="G16" s="211">
        <f>IF(N16=1,M16/$T$2*$S$2,IF(N16=2,M16/$T$2*$S$2*2,IF(N16="-",IF(M16="","",IF(ISTEXT(M16),M16,M16/$T$2)))))</f>
        <v>4.8726851851851848E-5</v>
      </c>
      <c r="H16" s="211" t="str">
        <f>IF(P16=1,O16/$T$2*$S$2,IF(P16=2,O16/$T$2*$S$2*2,IF(P16="-",IF(O16="","",IF(ISTEXT(O16),O16,O16/$T$2)))))</f>
        <v/>
      </c>
      <c r="I16" s="211" t="str">
        <f>IF(R16=1,Q16/$T$2*$S$2,IF(R16=2,Q16/$T$2*$S$2*2,IF(R16="-",IF(Q16="","",IF(ISTEXT(Q16),Q16,Q16/$T$2)))))</f>
        <v/>
      </c>
      <c r="J16" s="212">
        <v>4.1666666666666664E-2</v>
      </c>
      <c r="K16" s="213">
        <v>4.17</v>
      </c>
      <c r="L16" s="107" t="s">
        <v>44</v>
      </c>
      <c r="M16" s="220">
        <v>4.21</v>
      </c>
      <c r="N16" s="107" t="s">
        <v>44</v>
      </c>
      <c r="O16" s="109"/>
      <c r="P16" s="107" t="s">
        <v>44</v>
      </c>
      <c r="Q16" s="109"/>
      <c r="R16" s="107" t="s">
        <v>44</v>
      </c>
    </row>
    <row r="17" spans="1:18" ht="27.6">
      <c r="A17" s="15">
        <f ca="1">IFERROR(__xludf.DUMMYFUNCTION("""COMPUTED_VALUE"""),51)</f>
        <v>51</v>
      </c>
      <c r="B17" s="112" t="str">
        <f ca="1">IFERROR(__xludf.DUMMYFUNCTION("""COMPUTED_VALUE"""),"Elektronky z Vrchlabí")</f>
        <v>Elektronky z Vrchlabí</v>
      </c>
      <c r="C17" s="120" t="str">
        <f ca="1">IFERROR(__xludf.DUMMYFUNCTION("""COMPUTED_VALUE"""),"ZŠ Školní Vrchlabí")</f>
        <v>ZŠ Školní Vrchlabí</v>
      </c>
      <c r="D17" s="111" t="str">
        <f ca="1">IFERROR(__xludf.DUMMYFUNCTION("""COMPUTED_VALUE"""),"ZŠ")</f>
        <v>ZŠ</v>
      </c>
      <c r="E17" s="209">
        <f>MIN(F17:J17)</f>
        <v>4.8726851851851848E-5</v>
      </c>
      <c r="F17" s="210">
        <f>IF(L17=1,K17/$T$2*$S$2,IF(L17=2,K17/$T$2*$S$2*2,IF(L17="-",IF(K17="","",IF(ISTEXT(K17),K17,K17/$T$2)))))</f>
        <v>4.8958333333333335E-5</v>
      </c>
      <c r="G17" s="211">
        <f>IF(N17=1,M17/$T$2*$S$2,IF(N17=2,M17/$T$2*$S$2*2,IF(N17="-",IF(M17="","",IF(ISTEXT(M17),M17,M17/$T$2)))))</f>
        <v>4.8726851851851848E-5</v>
      </c>
      <c r="H17" s="211" t="str">
        <f>IF(P17=1,O17/$T$2*$S$2,IF(P17=2,O17/$T$2*$S$2*2,IF(P17="-",IF(O17="","",IF(ISTEXT(O17),O17,O17/$T$2)))))</f>
        <v/>
      </c>
      <c r="I17" s="211" t="str">
        <f>IF(R17=1,Q17/$T$2*$S$2,IF(R17=2,Q17/$T$2*$S$2*2,IF(R17="-",IF(Q17="","",IF(ISTEXT(Q17),Q17,Q17/$T$2)))))</f>
        <v/>
      </c>
      <c r="J17" s="212">
        <v>4.1666666666666664E-2</v>
      </c>
      <c r="K17" s="213">
        <v>4.2300000000000004</v>
      </c>
      <c r="L17" s="107" t="s">
        <v>44</v>
      </c>
      <c r="M17" s="220">
        <v>4.21</v>
      </c>
      <c r="N17" s="107" t="s">
        <v>44</v>
      </c>
      <c r="O17" s="109"/>
      <c r="P17" s="107" t="s">
        <v>44</v>
      </c>
      <c r="Q17" s="109"/>
      <c r="R17" s="107" t="s">
        <v>44</v>
      </c>
    </row>
    <row r="18" spans="1:18" ht="27.6">
      <c r="A18" s="15">
        <f ca="1">IFERROR(__xludf.DUMMYFUNCTION("""COMPUTED_VALUE"""),103)</f>
        <v>103</v>
      </c>
      <c r="B18" s="112" t="str">
        <f ca="1">IFERROR(__xludf.DUMMYFUNCTION("""COMPUTED_VALUE"""),"KAJmani")</f>
        <v>KAJmani</v>
      </c>
      <c r="C18" s="110" t="str">
        <f ca="1">IFERROR(__xludf.DUMMYFUNCTION("""COMPUTED_VALUE"""),"Základní škola, Trutnov, R. Frimla 816")</f>
        <v>Základní škola, Trutnov, R. Frimla 816</v>
      </c>
      <c r="D18" s="111" t="str">
        <f ca="1">IFERROR(__xludf.DUMMYFUNCTION("""COMPUTED_VALUE"""),"ZŠ")</f>
        <v>ZŠ</v>
      </c>
      <c r="E18" s="209">
        <f>MIN(F18:J18)</f>
        <v>4.9305555555555555E-5</v>
      </c>
      <c r="F18" s="210">
        <f>IF(L18=1,K18/$T$2*$S$2,IF(L18=2,K18/$T$2*$S$2*2,IF(L18="-",IF(K18="","",IF(ISTEXT(K18),K18,K18/$T$2)))))</f>
        <v>4.9305555555555555E-5</v>
      </c>
      <c r="G18" s="211">
        <f>IF(N18=1,M18/$T$2*$S$2,IF(N18=2,M18/$T$2*$S$2*2,IF(N18="-",IF(M18="","",IF(ISTEXT(M18),M18,M18/$T$2)))))</f>
        <v>6.7407407407407412E-5</v>
      </c>
      <c r="H18" s="211" t="str">
        <f>IF(P18=1,O18/$T$2*$S$2,IF(P18=2,O18/$T$2*$S$2*2,IF(P18="-",IF(O18="","",IF(ISTEXT(O18),O18,O18/$T$2)))))</f>
        <v/>
      </c>
      <c r="I18" s="211" t="str">
        <f>IF(R18=1,Q18/$T$2*$S$2,IF(R18=2,Q18/$T$2*$S$2*2,IF(R18="-",IF(Q18="","",IF(ISTEXT(Q18),Q18,Q18/$T$2)))))</f>
        <v/>
      </c>
      <c r="J18" s="212">
        <v>4.1666666666666664E-2</v>
      </c>
      <c r="K18" s="213">
        <v>4.26</v>
      </c>
      <c r="L18" s="107" t="s">
        <v>44</v>
      </c>
      <c r="M18" s="220">
        <v>4.4800000000000004</v>
      </c>
      <c r="N18" s="107">
        <v>1</v>
      </c>
      <c r="O18" s="109"/>
      <c r="P18" s="107" t="s">
        <v>44</v>
      </c>
      <c r="Q18" s="109"/>
      <c r="R18" s="107" t="s">
        <v>44</v>
      </c>
    </row>
    <row r="19" spans="1:18" ht="13.8">
      <c r="A19" s="15">
        <f ca="1">IFERROR(__xludf.DUMMYFUNCTION("""COMPUTED_VALUE"""),148)</f>
        <v>148</v>
      </c>
      <c r="B19" s="112" t="str">
        <f ca="1">IFERROR(__xludf.DUMMYFUNCTION("""COMPUTED_VALUE"""),"Radovánek Plzeň")</f>
        <v>Radovánek Plzeň</v>
      </c>
      <c r="C19" s="110" t="str">
        <f ca="1">IFERROR(__xludf.DUMMYFUNCTION("""COMPUTED_VALUE"""),"SVČ RADOVÁNEK Plzeň")</f>
        <v>SVČ RADOVÁNEK Plzeň</v>
      </c>
      <c r="D19" s="111" t="str">
        <f ca="1">IFERROR(__xludf.DUMMYFUNCTION("""COMPUTED_VALUE"""),"ZŠ")</f>
        <v>ZŠ</v>
      </c>
      <c r="E19" s="209">
        <f>MIN(F19:J19)</f>
        <v>4.9305555555555555E-5</v>
      </c>
      <c r="F19" s="210" t="str">
        <f>IF(L19=1,K19/$T$2*$S$2,IF(L19=2,K19/$T$2*$S$2*2,IF(L19="-",IF(K19="","",IF(ISTEXT(K19),K19,K19/$T$2)))))</f>
        <v>dnf</v>
      </c>
      <c r="G19" s="211">
        <f>IF(N19=1,M19/$T$2*$S$2,IF(N19=2,M19/$T$2*$S$2*2,IF(N19="-",IF(M19="","",IF(ISTEXT(M19),M19,M19/$T$2)))))</f>
        <v>4.9305555555555555E-5</v>
      </c>
      <c r="H19" s="211" t="str">
        <f>IF(P19=1,O19/$T$2*$S$2,IF(P19=2,O19/$T$2*$S$2*2,IF(P19="-",IF(O19="","",IF(ISTEXT(O19),O19,O19/$T$2)))))</f>
        <v/>
      </c>
      <c r="I19" s="211" t="str">
        <f>IF(R19=1,Q19/$T$2*$S$2,IF(R19=2,Q19/$T$2*$S$2*2,IF(R19="-",IF(Q19="","",IF(ISTEXT(Q19),Q19,Q19/$T$2)))))</f>
        <v/>
      </c>
      <c r="J19" s="212">
        <v>4.1666666666666664E-2</v>
      </c>
      <c r="K19" s="213" t="s">
        <v>48</v>
      </c>
      <c r="L19" s="107" t="s">
        <v>44</v>
      </c>
      <c r="M19" s="220">
        <v>4.26</v>
      </c>
      <c r="N19" s="107" t="s">
        <v>44</v>
      </c>
      <c r="O19" s="109"/>
      <c r="P19" s="107" t="s">
        <v>44</v>
      </c>
      <c r="Q19" s="109"/>
      <c r="R19" s="107" t="s">
        <v>44</v>
      </c>
    </row>
    <row r="20" spans="1:18" ht="13.8">
      <c r="A20" s="34">
        <f ca="1">IFERROR(__xludf.DUMMYFUNCTION("""COMPUTED_VALUE"""),126)</f>
        <v>126</v>
      </c>
      <c r="B20" s="112" t="str">
        <f ca="1">IFERROR(__xludf.DUMMYFUNCTION("""COMPUTED_VALUE"""),"ZlyHoch Gang")</f>
        <v>ZlyHoch Gang</v>
      </c>
      <c r="C20" s="110" t="str">
        <f ca="1">IFERROR(__xludf.DUMMYFUNCTION("""COMPUTED_VALUE"""),"Gymnázium Lanškroun")</f>
        <v>Gymnázium Lanškroun</v>
      </c>
      <c r="D20" s="111" t="str">
        <f ca="1">IFERROR(__xludf.DUMMYFUNCTION("""COMPUTED_VALUE"""),"ZŠ")</f>
        <v>ZŠ</v>
      </c>
      <c r="E20" s="209">
        <f>MIN(F20:J20)</f>
        <v>5.2546296296296297E-5</v>
      </c>
      <c r="F20" s="210">
        <f>IF(L20=1,K20/$T$2*$S$2,IF(L20=2,K20/$T$2*$S$2*2,IF(L20="-",IF(K20="","",IF(ISTEXT(K20),K20,K20/$T$2)))))</f>
        <v>5.2546296296296297E-5</v>
      </c>
      <c r="G20" s="211">
        <f>IF(N20=1,M20/$T$2*$S$2,IF(N20=2,M20/$T$2*$S$2*2,IF(N20="-",IF(M20="","",IF(ISTEXT(M20),M20,M20/$T$2)))))</f>
        <v>5.3587962962962964E-5</v>
      </c>
      <c r="H20" s="211" t="str">
        <f>IF(P20=1,O20/$T$2*$S$2,IF(P20=2,O20/$T$2*$S$2*2,IF(P20="-",IF(O20="","",IF(ISTEXT(O20),O20,O20/$T$2)))))</f>
        <v/>
      </c>
      <c r="I20" s="211" t="str">
        <f>IF(R20=1,Q20/$T$2*$S$2,IF(R20=2,Q20/$T$2*$S$2*2,IF(R20="-",IF(Q20="","",IF(ISTEXT(Q20),Q20,Q20/$T$2)))))</f>
        <v/>
      </c>
      <c r="J20" s="212">
        <v>4.1666666666666664E-2</v>
      </c>
      <c r="K20" s="213">
        <v>4.54</v>
      </c>
      <c r="L20" s="107" t="s">
        <v>44</v>
      </c>
      <c r="M20" s="220">
        <v>4.63</v>
      </c>
      <c r="N20" s="107" t="s">
        <v>44</v>
      </c>
      <c r="O20" s="109"/>
      <c r="P20" s="107" t="s">
        <v>44</v>
      </c>
      <c r="Q20" s="109"/>
      <c r="R20" s="107" t="s">
        <v>44</v>
      </c>
    </row>
    <row r="21" spans="1:18" ht="27.6">
      <c r="A21" s="15">
        <f ca="1">IFERROR(__xludf.DUMMYFUNCTION("""COMPUTED_VALUE"""),24)</f>
        <v>24</v>
      </c>
      <c r="B21" s="112" t="str">
        <f ca="1">IFERROR(__xludf.DUMMYFUNCTION("""COMPUTED_VALUE"""),"KiborgsUA_JR")</f>
        <v>KiborgsUA_JR</v>
      </c>
      <c r="C21" s="120" t="str">
        <f ca="1">IFERROR(__xludf.DUMMYFUNCTION("""COMPUTED_VALUE"""),"Lucenkovo Čerkaské gymnázium №9 (UA)")</f>
        <v>Lucenkovo Čerkaské gymnázium №9 (UA)</v>
      </c>
      <c r="D21" s="111" t="str">
        <f ca="1">IFERROR(__xludf.DUMMYFUNCTION("""COMPUTED_VALUE"""),"ZŠ")</f>
        <v>ZŠ</v>
      </c>
      <c r="E21" s="209">
        <f>MIN(F21:J21)</f>
        <v>5.3414351851851847E-5</v>
      </c>
      <c r="F21" s="210" t="str">
        <f>IF(L21=1,K21/$T$2*$S$2,IF(L21=2,K21/$T$2*$S$2*2,IF(L21="-",IF(K21="","",IF(ISTEXT(K21),K21,K21/$T$2)))))</f>
        <v>dnf</v>
      </c>
      <c r="G21" s="211">
        <f>IF(N21=1,M21/$T$2*$S$2,IF(N21=2,M21/$T$2*$S$2*2,IF(N21="-",IF(M21="","",IF(ISTEXT(M21),M21,M21/$T$2)))))</f>
        <v>5.3414351851851847E-5</v>
      </c>
      <c r="H21" s="211" t="str">
        <f>IF(P21=1,O21/$T$2*$S$2,IF(P21=2,O21/$T$2*$S$2*2,IF(P21="-",IF(O21="","",IF(ISTEXT(O21),O21,O21/$T$2)))))</f>
        <v/>
      </c>
      <c r="I21" s="211" t="str">
        <f>IF(R21=1,Q21/$T$2*$S$2,IF(R21=2,Q21/$T$2*$S$2*2,IF(R21="-",IF(Q21="","",IF(ISTEXT(Q21),Q21,Q21/$T$2)))))</f>
        <v/>
      </c>
      <c r="J21" s="212">
        <v>4.1666666666666664E-2</v>
      </c>
      <c r="K21" s="213" t="s">
        <v>48</v>
      </c>
      <c r="L21" s="107" t="s">
        <v>44</v>
      </c>
      <c r="M21" s="220">
        <v>3.55</v>
      </c>
      <c r="N21" s="107">
        <v>1</v>
      </c>
      <c r="O21" s="109"/>
      <c r="P21" s="107" t="s">
        <v>44</v>
      </c>
      <c r="Q21" s="109"/>
      <c r="R21" s="107" t="s">
        <v>44</v>
      </c>
    </row>
    <row r="22" spans="1:18" ht="27.6">
      <c r="A22" s="34">
        <f ca="1">IFERROR(__xludf.DUMMYFUNCTION("""COMPUTED_VALUE"""),79)</f>
        <v>79</v>
      </c>
      <c r="B22" s="112" t="str">
        <f ca="1">IFERROR(__xludf.DUMMYFUNCTION("""COMPUTED_VALUE"""),"Kiddům Team")</f>
        <v>Kiddům Team</v>
      </c>
      <c r="C22" s="110" t="str">
        <f ca="1">IFERROR(__xludf.DUMMYFUNCTION("""COMPUTED_VALUE"""),"Kiddům - Centrum mladých objevitelů Praha")</f>
        <v>Kiddům - Centrum mladých objevitelů Praha</v>
      </c>
      <c r="D22" s="111" t="str">
        <f ca="1">IFERROR(__xludf.DUMMYFUNCTION("""COMPUTED_VALUE"""),"ZŠ")</f>
        <v>ZŠ</v>
      </c>
      <c r="E22" s="209">
        <f>MIN(F22:J22)</f>
        <v>5.3472222222222224E-5</v>
      </c>
      <c r="F22" s="210" t="str">
        <f>IF(L22=1,K22/$T$2*$S$2,IF(L22=2,K22/$T$2*$S$2*2,IF(L22="-",IF(K22="","",IF(ISTEXT(K22),K22,K22/$T$2)))))</f>
        <v>dnf</v>
      </c>
      <c r="G22" s="211">
        <f>IF(N22=1,M22/$T$2*$S$2,IF(N22=2,M22/$T$2*$S$2*2,IF(N22="-",IF(M22="","",IF(ISTEXT(M22),M22,M22/$T$2)))))</f>
        <v>5.3472222222222224E-5</v>
      </c>
      <c r="H22" s="211" t="str">
        <f>IF(P22=1,O22/$T$2*$S$2,IF(P22=2,O22/$T$2*$S$2*2,IF(P22="-",IF(O22="","",IF(ISTEXT(O22),O22,O22/$T$2)))))</f>
        <v/>
      </c>
      <c r="I22" s="211" t="str">
        <f>IF(R22=1,Q22/$T$2*$S$2,IF(R22=2,Q22/$T$2*$S$2*2,IF(R22="-",IF(Q22="","",IF(ISTEXT(Q22),Q22,Q22/$T$2)))))</f>
        <v/>
      </c>
      <c r="J22" s="212">
        <v>4.1666666666666664E-2</v>
      </c>
      <c r="K22" s="213" t="s">
        <v>48</v>
      </c>
      <c r="L22" s="107" t="s">
        <v>44</v>
      </c>
      <c r="M22" s="220">
        <v>4.62</v>
      </c>
      <c r="N22" s="107" t="s">
        <v>44</v>
      </c>
      <c r="O22" s="109"/>
      <c r="P22" s="107" t="s">
        <v>44</v>
      </c>
      <c r="Q22" s="109"/>
      <c r="R22" s="107" t="s">
        <v>44</v>
      </c>
    </row>
    <row r="23" spans="1:18" ht="27.6">
      <c r="A23" s="15">
        <f ca="1">IFERROR(__xludf.DUMMYFUNCTION("""COMPUTED_VALUE"""),119)</f>
        <v>119</v>
      </c>
      <c r="B23" s="112" t="str">
        <f ca="1">IFERROR(__xludf.DUMMYFUNCTION("""COMPUTED_VALUE"""),"Vybitý baterky")</f>
        <v>Vybitý baterky</v>
      </c>
      <c r="C23" s="110" t="str">
        <f ca="1">IFERROR(__xludf.DUMMYFUNCTION("""COMPUTED_VALUE"""),"Gymnázium Jakuba Škody, Přerov")</f>
        <v>Gymnázium Jakuba Škody, Přerov</v>
      </c>
      <c r="D23" s="111" t="str">
        <f ca="1">IFERROR(__xludf.DUMMYFUNCTION("""COMPUTED_VALUE"""),"SŠ")</f>
        <v>SŠ</v>
      </c>
      <c r="E23" s="209">
        <f>MIN(F23:J23)</f>
        <v>5.3703703703703697E-5</v>
      </c>
      <c r="F23" s="210">
        <f>IF(L23=1,K23/$T$2*$S$2,IF(L23=2,K23/$T$2*$S$2*2,IF(L23="-",IF(K23="","",IF(ISTEXT(K23),K23,K23/$T$2)))))</f>
        <v>5.3703703703703697E-5</v>
      </c>
      <c r="G23" s="211">
        <f>IF(N23=1,M23/$T$2*$S$2,IF(N23=2,M23/$T$2*$S$2*2,IF(N23="-",IF(M23="","",IF(ISTEXT(M23),M23,M23/$T$2)))))</f>
        <v>7.0567129629629639E-5</v>
      </c>
      <c r="H23" s="211" t="str">
        <f>IF(P23=1,O23/$T$2*$S$2,IF(P23=2,O23/$T$2*$S$2*2,IF(P23="-",IF(O23="","",IF(ISTEXT(O23),O23,O23/$T$2)))))</f>
        <v/>
      </c>
      <c r="I23" s="211" t="str">
        <f>IF(R23=1,Q23/$T$2*$S$2,IF(R23=2,Q23/$T$2*$S$2*2,IF(R23="-",IF(Q23="","",IF(ISTEXT(Q23),Q23,Q23/$T$2)))))</f>
        <v/>
      </c>
      <c r="J23" s="212">
        <v>4.1666666666666664E-2</v>
      </c>
      <c r="K23" s="213">
        <v>4.6399999999999997</v>
      </c>
      <c r="L23" s="107" t="s">
        <v>44</v>
      </c>
      <c r="M23" s="220">
        <v>4.6900000000000004</v>
      </c>
      <c r="N23" s="107">
        <v>1</v>
      </c>
      <c r="O23" s="109"/>
      <c r="P23" s="107" t="s">
        <v>44</v>
      </c>
      <c r="Q23" s="109"/>
      <c r="R23" s="107" t="s">
        <v>44</v>
      </c>
    </row>
    <row r="24" spans="1:18" ht="13.8">
      <c r="A24" s="15">
        <f ca="1">IFERROR(__xludf.DUMMYFUNCTION("""COMPUTED_VALUE"""),2)</f>
        <v>2</v>
      </c>
      <c r="B24" s="112" t="str">
        <f ca="1">IFERROR(__xludf.DUMMYFUNCTION("""COMPUTED_VALUE"""),"Sirotci2")</f>
        <v>Sirotci2</v>
      </c>
      <c r="C24" s="110" t="str">
        <f ca="1">IFERROR(__xludf.DUMMYFUNCTION("""COMPUTED_VALUE"""),"ZŠ Sirotkova Brno")</f>
        <v>ZŠ Sirotkova Brno</v>
      </c>
      <c r="D24" s="111" t="str">
        <f ca="1">IFERROR(__xludf.DUMMYFUNCTION("""COMPUTED_VALUE"""),"ZŠ")</f>
        <v>ZŠ</v>
      </c>
      <c r="E24" s="209">
        <f>MIN(F24:J24)</f>
        <v>5.4629629629629624E-5</v>
      </c>
      <c r="F24" s="210">
        <f>IF(L24=1,K24/$T$2*$S$2,IF(L24=2,K24/$T$2*$S$2*2,IF(L24="-",IF(K24="","",IF(ISTEXT(K24),K24,K24/$T$2)))))</f>
        <v>5.4629629629629624E-5</v>
      </c>
      <c r="G24" s="211">
        <f>IF(N24=1,M24/$T$2*$S$2,IF(N24=2,M24/$T$2*$S$2*2,IF(N24="-",IF(M24="","",IF(ISTEXT(M24),M24,M24/$T$2)))))</f>
        <v>6.9513888888888897E-5</v>
      </c>
      <c r="H24" s="211" t="str">
        <f>IF(P24=1,O24/$T$2*$S$2,IF(P24=2,O24/$T$2*$S$2*2,IF(P24="-",IF(O24="","",IF(ISTEXT(O24),O24,O24/$T$2)))))</f>
        <v/>
      </c>
      <c r="I24" s="211" t="str">
        <f>IF(R24=1,Q24/$T$2*$S$2,IF(R24=2,Q24/$T$2*$S$2*2,IF(R24="-",IF(Q24="","",IF(ISTEXT(Q24),Q24,Q24/$T$2)))))</f>
        <v/>
      </c>
      <c r="J24" s="212">
        <v>4.1666666666666664E-2</v>
      </c>
      <c r="K24" s="213">
        <v>4.72</v>
      </c>
      <c r="L24" s="107" t="s">
        <v>44</v>
      </c>
      <c r="M24" s="220">
        <v>4.62</v>
      </c>
      <c r="N24" s="107">
        <v>1</v>
      </c>
      <c r="O24" s="109"/>
      <c r="P24" s="107" t="s">
        <v>44</v>
      </c>
      <c r="Q24" s="109"/>
      <c r="R24" s="107" t="s">
        <v>44</v>
      </c>
    </row>
    <row r="25" spans="1:18" ht="27.6">
      <c r="A25" s="34">
        <f ca="1">IFERROR(__xludf.DUMMYFUNCTION("""COMPUTED_VALUE"""),60)</f>
        <v>60</v>
      </c>
      <c r="B25" s="126" t="str">
        <f ca="1">IFERROR(__xludf.DUMMYFUNCTION("""COMPUTED_VALUE"""),"SuperGo")</f>
        <v>SuperGo</v>
      </c>
      <c r="C25" s="110" t="str">
        <f ca="1">IFERROR(__xludf.DUMMYFUNCTION("""COMPUTED_VALUE"""),"Katolícka spojená škola Banská Štiavnica")</f>
        <v>Katolícka spojená škola Banská Štiavnica</v>
      </c>
      <c r="D25" s="111" t="str">
        <f ca="1">IFERROR(__xludf.DUMMYFUNCTION("""COMPUTED_VALUE"""),"ZŠ")</f>
        <v>ZŠ</v>
      </c>
      <c r="E25" s="209">
        <f>MIN(F25:J25)</f>
        <v>5.5092592592592591E-5</v>
      </c>
      <c r="F25" s="210">
        <f>IF(L25=1,K25/$T$2*$S$2,IF(L25=2,K25/$T$2*$S$2*2,IF(L25="-",IF(K25="","",IF(ISTEXT(K25),K25,K25/$T$2)))))</f>
        <v>5.5092592592592591E-5</v>
      </c>
      <c r="G25" s="211" t="str">
        <f>IF(N25=1,M25/$T$2*$S$2,IF(N25=2,M25/$T$2*$S$2*2,IF(N25="-",IF(M25="","",IF(ISTEXT(M25),M25,M25/$T$2)))))</f>
        <v/>
      </c>
      <c r="H25" s="211" t="str">
        <f>IF(P25=1,O25/$T$2*$S$2,IF(P25=2,O25/$T$2*$S$2*2,IF(P25="-",IF(O25="","",IF(ISTEXT(O25),O25,O25/$T$2)))))</f>
        <v/>
      </c>
      <c r="I25" s="211" t="str">
        <f>IF(R25=1,Q25/$T$2*$S$2,IF(R25=2,Q25/$T$2*$S$2*2,IF(R25="-",IF(Q25="","",IF(ISTEXT(Q25),Q25,Q25/$T$2)))))</f>
        <v/>
      </c>
      <c r="J25" s="212">
        <v>4.1666666666666664E-2</v>
      </c>
      <c r="K25" s="213">
        <v>4.76</v>
      </c>
      <c r="L25" s="107" t="s">
        <v>44</v>
      </c>
      <c r="M25" s="221"/>
      <c r="N25" s="107" t="s">
        <v>44</v>
      </c>
      <c r="O25" s="109"/>
      <c r="P25" s="107" t="s">
        <v>44</v>
      </c>
      <c r="Q25" s="109"/>
      <c r="R25" s="107" t="s">
        <v>44</v>
      </c>
    </row>
    <row r="26" spans="1:18" ht="27.6">
      <c r="A26" s="34">
        <f ca="1">IFERROR(__xludf.DUMMYFUNCTION("""COMPUTED_VALUE"""),133)</f>
        <v>133</v>
      </c>
      <c r="B26" s="112" t="str">
        <f ca="1">IFERROR(__xludf.DUMMYFUNCTION("""COMPUTED_VALUE"""),"Černilováci")</f>
        <v>Černilováci</v>
      </c>
      <c r="C26" s="110" t="str">
        <f ca="1">IFERROR(__xludf.DUMMYFUNCTION("""COMPUTED_VALUE"""),"Masarykova jubilejní ZŠ a MŠ Černilov")</f>
        <v>Masarykova jubilejní ZŠ a MŠ Černilov</v>
      </c>
      <c r="D26" s="111" t="str">
        <f ca="1">IFERROR(__xludf.DUMMYFUNCTION("""COMPUTED_VALUE"""),"ZŠ")</f>
        <v>ZŠ</v>
      </c>
      <c r="E26" s="209">
        <f>MIN(F26:J26)</f>
        <v>5.5902777777777778E-5</v>
      </c>
      <c r="F26" s="210">
        <f>IF(L26=1,K26/$T$2*$S$2,IF(L26=2,K26/$T$2*$S$2*2,IF(L26="-",IF(K26="","",IF(ISTEXT(K26),K26,K26/$T$2)))))</f>
        <v>8.0046296296296308E-5</v>
      </c>
      <c r="G26" s="211">
        <f>IF(N26=1,M26/$T$2*$S$2,IF(N26=2,M26/$T$2*$S$2*2,IF(N26="-",IF(M26="","",IF(ISTEXT(M26),M26,M26/$T$2)))))</f>
        <v>5.5902777777777778E-5</v>
      </c>
      <c r="H26" s="211" t="str">
        <f>IF(P26=1,O26/$T$2*$S$2,IF(P26=2,O26/$T$2*$S$2*2,IF(P26="-",IF(O26="","",IF(ISTEXT(O26),O26,O26/$T$2)))))</f>
        <v/>
      </c>
      <c r="I26" s="211" t="str">
        <f>IF(R26=1,Q26/$T$2*$S$2,IF(R26=2,Q26/$T$2*$S$2*2,IF(R26="-",IF(Q26="","",IF(ISTEXT(Q26),Q26,Q26/$T$2)))))</f>
        <v/>
      </c>
      <c r="J26" s="212">
        <v>4.1666666666666664E-2</v>
      </c>
      <c r="K26" s="213">
        <v>5.32</v>
      </c>
      <c r="L26" s="107">
        <v>1</v>
      </c>
      <c r="M26" s="220">
        <v>4.83</v>
      </c>
      <c r="N26" s="107" t="s">
        <v>44</v>
      </c>
      <c r="O26" s="109"/>
      <c r="P26" s="107" t="s">
        <v>44</v>
      </c>
      <c r="Q26" s="109"/>
      <c r="R26" s="107" t="s">
        <v>44</v>
      </c>
    </row>
    <row r="27" spans="1:18" ht="27.6">
      <c r="A27" s="15">
        <f ca="1">IFERROR(__xludf.DUMMYFUNCTION("""COMPUTED_VALUE"""),94)</f>
        <v>94</v>
      </c>
      <c r="B27" s="112" t="str">
        <f ca="1">IFERROR(__xludf.DUMMYFUNCTION("""COMPUTED_VALUE"""),"F2")</f>
        <v>F2</v>
      </c>
      <c r="C27" s="110" t="str">
        <f ca="1">IFERROR(__xludf.DUMMYFUNCTION("""COMPUTED_VALUE"""),"The Benders - Amavet klub robotiky 958")</f>
        <v>The Benders - Amavet klub robotiky 958</v>
      </c>
      <c r="D27" s="111" t="str">
        <f ca="1">IFERROR(__xludf.DUMMYFUNCTION("""COMPUTED_VALUE"""),"ZŠ")</f>
        <v>ZŠ</v>
      </c>
      <c r="E27" s="209">
        <f>MIN(F27:J27)</f>
        <v>5.612268518518519E-5</v>
      </c>
      <c r="F27" s="210" t="str">
        <f>IF(L27=1,K27/$T$2*$S$2,IF(L27=2,K27/$T$2*$S$2*2,IF(L27="-",IF(K27="","",IF(ISTEXT(K27),K27,K27/$T$2)))))</f>
        <v>dnf</v>
      </c>
      <c r="G27" s="211">
        <f>IF(N27=1,M27/$T$2*$S$2,IF(N27=2,M27/$T$2*$S$2*2,IF(N27="-",IF(M27="","",IF(ISTEXT(M27),M27,M27/$T$2)))))</f>
        <v>5.612268518518519E-5</v>
      </c>
      <c r="H27" s="211" t="str">
        <f>IF(P27=1,O27/$T$2*$S$2,IF(P27=2,O27/$T$2*$S$2*2,IF(P27="-",IF(O27="","",IF(ISTEXT(O27),O27,O27/$T$2)))))</f>
        <v/>
      </c>
      <c r="I27" s="211" t="str">
        <f>IF(R27=1,Q27/$T$2*$S$2,IF(R27=2,Q27/$T$2*$S$2*2,IF(R27="-",IF(Q27="","",IF(ISTEXT(Q27),Q27,Q27/$T$2)))))</f>
        <v/>
      </c>
      <c r="J27" s="212">
        <v>4.1666666666666664E-2</v>
      </c>
      <c r="K27" s="213" t="s">
        <v>48</v>
      </c>
      <c r="L27" s="107" t="s">
        <v>44</v>
      </c>
      <c r="M27" s="220">
        <v>3.73</v>
      </c>
      <c r="N27" s="107">
        <v>1</v>
      </c>
      <c r="O27" s="109"/>
      <c r="P27" s="107" t="s">
        <v>44</v>
      </c>
      <c r="Q27" s="109"/>
      <c r="R27" s="107" t="s">
        <v>44</v>
      </c>
    </row>
    <row r="28" spans="1:18" ht="13.8">
      <c r="A28" s="222">
        <f ca="1">IFERROR(__xludf.DUMMYFUNCTION("query(Data,""select A,D,C,Y where AC = TRUE"")"),1)</f>
        <v>1</v>
      </c>
      <c r="B28" s="132" t="str">
        <f ca="1">IFERROR(__xludf.DUMMYFUNCTION("""COMPUTED_VALUE"""),"Sirotci")</f>
        <v>Sirotci</v>
      </c>
      <c r="C28" s="132" t="str">
        <f ca="1">IFERROR(__xludf.DUMMYFUNCTION("""COMPUTED_VALUE"""),"ZŠ Sirotkova Brno")</f>
        <v>ZŠ Sirotkova Brno</v>
      </c>
      <c r="D28" s="128" t="str">
        <f ca="1">IFERROR(__xludf.DUMMYFUNCTION("""COMPUTED_VALUE"""),"ZŠ")</f>
        <v>ZŠ</v>
      </c>
      <c r="E28" s="209">
        <f>MIN(F28:J28)</f>
        <v>5.6134259259259258E-5</v>
      </c>
      <c r="F28" s="210" t="str">
        <f>IF(L28=1,K28/$T$2*$S$2,IF(L28=2,K28/$T$2*$S$2*2,IF(L28="-",IF(K28="","",IF(ISTEXT(K28),K28,K28/$T$2)))))</f>
        <v>DNF</v>
      </c>
      <c r="G28" s="211">
        <f>IF(N28=1,M28/$T$2*$S$2,IF(N28=2,M28/$T$2*$S$2*2,IF(N28="-",IF(M28="","",IF(ISTEXT(M28),M28,M28/$T$2)))))</f>
        <v>5.6134259259259258E-5</v>
      </c>
      <c r="H28" s="211" t="str">
        <f>IF(P28=1,O28/$T$2*$S$2,IF(P28=2,O28/$T$2*$S$2*2,IF(P28="-",IF(O28="","",IF(ISTEXT(O28),O28,O28/$T$2)))))</f>
        <v/>
      </c>
      <c r="I28" s="211" t="str">
        <f>IF(R28=1,Q28/$T$2*$S$2,IF(R28=2,Q28/$T$2*$S$2*2,IF(R28="-",IF(Q28="","",IF(ISTEXT(Q28),Q28,Q28/$T$2)))))</f>
        <v/>
      </c>
      <c r="J28" s="212">
        <v>4.1666666666666664E-2</v>
      </c>
      <c r="K28" s="213" t="s">
        <v>43</v>
      </c>
      <c r="L28" s="107" t="s">
        <v>44</v>
      </c>
      <c r="M28" s="220">
        <v>4.8499999999999996</v>
      </c>
      <c r="N28" s="107" t="s">
        <v>44</v>
      </c>
      <c r="O28" s="109"/>
      <c r="P28" s="107" t="s">
        <v>44</v>
      </c>
      <c r="Q28" s="109"/>
      <c r="R28" s="107" t="s">
        <v>44</v>
      </c>
    </row>
    <row r="29" spans="1:18" ht="13.8">
      <c r="A29" s="15">
        <f ca="1">IFERROR(__xludf.DUMMYFUNCTION("""COMPUTED_VALUE"""),91)</f>
        <v>91</v>
      </c>
      <c r="B29" s="132" t="str">
        <f ca="1">IFERROR(__xludf.DUMMYFUNCTION("""COMPUTED_VALUE"""),"Androidi")</f>
        <v>Androidi</v>
      </c>
      <c r="C29" s="110" t="str">
        <f ca="1">IFERROR(__xludf.DUMMYFUNCTION("""COMPUTED_VALUE"""),"ZŠ, Znojmo, Mládeže 3")</f>
        <v>ZŠ, Znojmo, Mládeže 3</v>
      </c>
      <c r="D29" s="111" t="str">
        <f ca="1">IFERROR(__xludf.DUMMYFUNCTION("""COMPUTED_VALUE"""),"ZŠ")</f>
        <v>ZŠ</v>
      </c>
      <c r="E29" s="209">
        <f>MIN(F29:J29)</f>
        <v>5.6828703703703705E-5</v>
      </c>
      <c r="F29" s="210">
        <f>IF(L29=1,K29/$T$2*$S$2,IF(L29=2,K29/$T$2*$S$2*2,IF(L29="-",IF(K29="","",IF(ISTEXT(K29),K29,K29/$T$2)))))</f>
        <v>5.6828703703703705E-5</v>
      </c>
      <c r="G29" s="211">
        <f>IF(N29=1,M29/$T$2*$S$2,IF(N29=2,M29/$T$2*$S$2*2,IF(N29="-",IF(M29="","",IF(ISTEXT(M29),M29,M29/$T$2)))))</f>
        <v>5.7291666666666666E-5</v>
      </c>
      <c r="H29" s="211" t="str">
        <f>IF(P29=1,O29/$T$2*$S$2,IF(P29=2,O29/$T$2*$S$2*2,IF(P29="-",IF(O29="","",IF(ISTEXT(O29),O29,O29/$T$2)))))</f>
        <v/>
      </c>
      <c r="I29" s="211" t="str">
        <f>IF(R29=1,Q29/$T$2*$S$2,IF(R29=2,Q29/$T$2*$S$2*2,IF(R29="-",IF(Q29="","",IF(ISTEXT(Q29),Q29,Q29/$T$2)))))</f>
        <v/>
      </c>
      <c r="J29" s="212">
        <v>4.1666666666666664E-2</v>
      </c>
      <c r="K29" s="213">
        <v>4.91</v>
      </c>
      <c r="L29" s="107" t="s">
        <v>44</v>
      </c>
      <c r="M29" s="220">
        <v>4.95</v>
      </c>
      <c r="N29" s="107" t="s">
        <v>44</v>
      </c>
      <c r="O29" s="109"/>
      <c r="P29" s="107" t="s">
        <v>44</v>
      </c>
      <c r="Q29" s="109"/>
      <c r="R29" s="107" t="s">
        <v>44</v>
      </c>
    </row>
    <row r="30" spans="1:18" ht="27.6">
      <c r="A30" s="15">
        <f ca="1">IFERROR(__xludf.DUMMYFUNCTION("""COMPUTED_VALUE"""),183)</f>
        <v>183</v>
      </c>
      <c r="B30" s="112" t="str">
        <f ca="1">IFERROR(__xludf.DUMMYFUNCTION("""COMPUTED_VALUE"""),"ATMrybnik")</f>
        <v>ATMrybnik</v>
      </c>
      <c r="C30" s="110" t="str">
        <f ca="1">IFERROR(__xludf.DUMMYFUNCTION("""COMPUTED_VALUE"""),"Zespół Szkół Technicznych Rybnik ")</f>
        <v xml:space="preserve">Zespół Szkół Technicznych Rybnik </v>
      </c>
      <c r="D30" s="111" t="str">
        <f ca="1">IFERROR(__xludf.DUMMYFUNCTION("""COMPUTED_VALUE"""),"SŠ (15-19 years)")</f>
        <v>SŠ (15-19 years)</v>
      </c>
      <c r="E30" s="209">
        <f>MIN(F30:J30)</f>
        <v>5.7175925925925932E-5</v>
      </c>
      <c r="F30" s="210" t="str">
        <f>IF(L30=1,K30/$T$2*$S$2,IF(L30=2,K30/$T$2*$S$2*2,IF(L30="-",IF(K30="","",IF(ISTEXT(K30),K30,K30/$T$2)))))</f>
        <v>dnf</v>
      </c>
      <c r="G30" s="211">
        <f>IF(N30=1,M30/$T$2*$S$2,IF(N30=2,M30/$T$2*$S$2*2,IF(N30="-",IF(M30="","",IF(ISTEXT(M30),M30,M30/$T$2)))))</f>
        <v>5.7175925925925932E-5</v>
      </c>
      <c r="H30" s="211" t="str">
        <f>IF(P30=1,O30/$T$2*$S$2,IF(P30=2,O30/$T$2*$S$2*2,IF(P30="-",IF(O30="","",IF(ISTEXT(O30),O30,O30/$T$2)))))</f>
        <v/>
      </c>
      <c r="I30" s="211" t="str">
        <f>IF(R30=1,Q30/$T$2*$S$2,IF(R30=2,Q30/$T$2*$S$2*2,IF(R30="-",IF(Q30="","",IF(ISTEXT(Q30),Q30,Q30/$T$2)))))</f>
        <v/>
      </c>
      <c r="J30" s="212">
        <v>4.1666666666666664E-2</v>
      </c>
      <c r="K30" s="213" t="s">
        <v>48</v>
      </c>
      <c r="L30" s="107" t="s">
        <v>44</v>
      </c>
      <c r="M30" s="220">
        <v>4.9400000000000004</v>
      </c>
      <c r="N30" s="107" t="s">
        <v>44</v>
      </c>
      <c r="O30" s="109"/>
      <c r="P30" s="107" t="s">
        <v>44</v>
      </c>
      <c r="Q30" s="109"/>
      <c r="R30" s="107" t="s">
        <v>44</v>
      </c>
    </row>
    <row r="31" spans="1:18" ht="13.8">
      <c r="A31" s="15">
        <f ca="1">IFERROR(__xludf.DUMMYFUNCTION("""COMPUTED_VALUE"""),88)</f>
        <v>88</v>
      </c>
      <c r="B31" s="112" t="str">
        <f ca="1">IFERROR(__xludf.DUMMYFUNCTION("""COMPUTED_VALUE"""),"TAJM")</f>
        <v>TAJM</v>
      </c>
      <c r="C31" s="110" t="str">
        <f ca="1">IFERROR(__xludf.DUMMYFUNCTION("""COMPUTED_VALUE"""),"ZŠ s MŠ Podolie")</f>
        <v>ZŠ s MŠ Podolie</v>
      </c>
      <c r="D31" s="111" t="str">
        <f ca="1">IFERROR(__xludf.DUMMYFUNCTION("""COMPUTED_VALUE"""),"ZŠ")</f>
        <v>ZŠ</v>
      </c>
      <c r="E31" s="209">
        <f>MIN(F31:J31)</f>
        <v>5.7407407407407406E-5</v>
      </c>
      <c r="F31" s="210">
        <f>IF(L31=1,K31/$T$2*$S$2,IF(L31=2,K31/$T$2*$S$2*2,IF(L31="-",IF(K31="","",IF(ISTEXT(K31),K31,K31/$T$2)))))</f>
        <v>5.7407407407407406E-5</v>
      </c>
      <c r="G31" s="211">
        <f>IF(N31=1,M31/$T$2*$S$2,IF(N31=2,M31/$T$2*$S$2*2,IF(N31="-",IF(M31="","",IF(ISTEXT(M31),M31,M31/$T$2)))))</f>
        <v>5.7754629629629633E-5</v>
      </c>
      <c r="H31" s="211" t="str">
        <f>IF(P31=1,O31/$T$2*$S$2,IF(P31=2,O31/$T$2*$S$2*2,IF(P31="-",IF(O31="","",IF(ISTEXT(O31),O31,O31/$T$2)))))</f>
        <v/>
      </c>
      <c r="I31" s="211" t="str">
        <f>IF(R31=1,Q31/$T$2*$S$2,IF(R31=2,Q31/$T$2*$S$2*2,IF(R31="-",IF(Q31="","",IF(ISTEXT(Q31),Q31,Q31/$T$2)))))</f>
        <v/>
      </c>
      <c r="J31" s="212">
        <v>4.1666666666666664E-2</v>
      </c>
      <c r="K31" s="213">
        <v>4.96</v>
      </c>
      <c r="L31" s="107" t="s">
        <v>44</v>
      </c>
      <c r="M31" s="220">
        <v>4.99</v>
      </c>
      <c r="N31" s="107" t="s">
        <v>44</v>
      </c>
      <c r="O31" s="109"/>
      <c r="P31" s="107" t="s">
        <v>44</v>
      </c>
      <c r="Q31" s="109"/>
      <c r="R31" s="107" t="s">
        <v>44</v>
      </c>
    </row>
    <row r="32" spans="1:18" ht="27.6">
      <c r="A32" s="15">
        <f ca="1">IFERROR(__xludf.DUMMYFUNCTION("""COMPUTED_VALUE"""),21)</f>
        <v>21</v>
      </c>
      <c r="B32" s="112" t="str">
        <f ca="1">IFERROR(__xludf.DUMMYFUNCTION("""COMPUTED_VALUE"""),"Crystal Cat")</f>
        <v>Crystal Cat</v>
      </c>
      <c r="C32" s="120" t="str">
        <f ca="1">IFERROR(__xludf.DUMMYFUNCTION("""COMPUTED_VALUE"""),"Klub sportovní robotiky ""RoboMaker"" Kyjev (UA)")</f>
        <v>Klub sportovní robotiky "RoboMaker" Kyjev (UA)</v>
      </c>
      <c r="D32" s="111" t="str">
        <f ca="1">IFERROR(__xludf.DUMMYFUNCTION("""COMPUTED_VALUE"""),"ZŠ")</f>
        <v>ZŠ</v>
      </c>
      <c r="E32" s="209">
        <f>MIN(F32:J32)</f>
        <v>5.7777777777777776E-5</v>
      </c>
      <c r="F32" s="210">
        <f>IF(L32=1,K32/$T$2*$S$2,IF(L32=2,K32/$T$2*$S$2*2,IF(L32="-",IF(K32="","",IF(ISTEXT(K32),K32,K32/$T$2)))))</f>
        <v>5.7777777777777776E-5</v>
      </c>
      <c r="G32" s="211" t="str">
        <f>IF(N32=1,M32/$T$2*$S$2,IF(N32=2,M32/$T$2*$S$2*2,IF(N32="-",IF(M32="","",IF(ISTEXT(M32),M32,M32/$T$2)))))</f>
        <v/>
      </c>
      <c r="H32" s="211" t="str">
        <f>IF(P32=1,O32/$T$2*$S$2,IF(P32=2,O32/$T$2*$S$2*2,IF(P32="-",IF(O32="","",IF(ISTEXT(O32),O32,O32/$T$2)))))</f>
        <v/>
      </c>
      <c r="I32" s="211" t="str">
        <f>IF(R32=1,Q32/$T$2*$S$2,IF(R32=2,Q32/$T$2*$S$2*2,IF(R32="-",IF(Q32="","",IF(ISTEXT(Q32),Q32,Q32/$T$2)))))</f>
        <v/>
      </c>
      <c r="J32" s="212">
        <v>4.1666666666666664E-2</v>
      </c>
      <c r="K32" s="213">
        <v>3.84</v>
      </c>
      <c r="L32" s="107">
        <v>1</v>
      </c>
      <c r="M32" s="221"/>
      <c r="N32" s="107" t="s">
        <v>44</v>
      </c>
      <c r="O32" s="109"/>
      <c r="P32" s="107" t="s">
        <v>44</v>
      </c>
      <c r="Q32" s="109"/>
      <c r="R32" s="107" t="s">
        <v>44</v>
      </c>
    </row>
    <row r="33" spans="1:18" ht="27.6">
      <c r="A33" s="15">
        <f ca="1">IFERROR(__xludf.DUMMYFUNCTION("""COMPUTED_VALUE"""),167)</f>
        <v>167</v>
      </c>
      <c r="B33" s="112" t="str">
        <f ca="1">IFERROR(__xludf.DUMMYFUNCTION("""COMPUTED_VALUE"""),"Bunlab Team V")</f>
        <v>Bunlab Team V</v>
      </c>
      <c r="C33" s="110" t="str">
        <f ca="1">IFERROR(__xludf.DUMMYFUNCTION("""COMPUTED_VALUE"""),"PSP Nasza Szkola")</f>
        <v>PSP Nasza Szkola</v>
      </c>
      <c r="D33" s="111" t="str">
        <f ca="1">IFERROR(__xludf.DUMMYFUNCTION("""COMPUTED_VALUE"""),"ZŠ (6-15 years)")</f>
        <v>ZŠ (6-15 years)</v>
      </c>
      <c r="E33" s="209">
        <f>MIN(F33:J33)</f>
        <v>5.8333333333333333E-5</v>
      </c>
      <c r="F33" s="210">
        <f>IF(L33=1,K33/$T$2*$S$2,IF(L33=2,K33/$T$2*$S$2*2,IF(L33="-",IF(K33="","",IF(ISTEXT(K33),K33,K33/$T$2)))))</f>
        <v>6.0185185185185187E-5</v>
      </c>
      <c r="G33" s="211">
        <f>IF(N33=1,M33/$T$2*$S$2,IF(N33=2,M33/$T$2*$S$2*2,IF(N33="-",IF(M33="","",IF(ISTEXT(M33),M33,M33/$T$2)))))</f>
        <v>5.8333333333333333E-5</v>
      </c>
      <c r="H33" s="211" t="str">
        <f>IF(P33=1,O33/$T$2*$S$2,IF(P33=2,O33/$T$2*$S$2*2,IF(P33="-",IF(O33="","",IF(ISTEXT(O33),O33,O33/$T$2)))))</f>
        <v/>
      </c>
      <c r="I33" s="211" t="str">
        <f>IF(R33=1,Q33/$T$2*$S$2,IF(R33=2,Q33/$T$2*$S$2*2,IF(R33="-",IF(Q33="","",IF(ISTEXT(Q33),Q33,Q33/$T$2)))))</f>
        <v/>
      </c>
      <c r="J33" s="212">
        <v>4.1666666666666664E-2</v>
      </c>
      <c r="K33" s="213">
        <v>5.2</v>
      </c>
      <c r="L33" s="107" t="s">
        <v>44</v>
      </c>
      <c r="M33" s="220">
        <v>5.04</v>
      </c>
      <c r="N33" s="107" t="s">
        <v>44</v>
      </c>
      <c r="O33" s="109"/>
      <c r="P33" s="107" t="s">
        <v>44</v>
      </c>
      <c r="Q33" s="109"/>
      <c r="R33" s="107" t="s">
        <v>44</v>
      </c>
    </row>
    <row r="34" spans="1:18" ht="13.8">
      <c r="A34" s="15">
        <f ca="1">IFERROR(__xludf.DUMMYFUNCTION("""COMPUTED_VALUE"""),68)</f>
        <v>68</v>
      </c>
      <c r="B34" s="112" t="str">
        <f ca="1">IFERROR(__xludf.DUMMYFUNCTION("""COMPUTED_VALUE"""),"Krasohled1")</f>
        <v>Krasohled1</v>
      </c>
      <c r="C34" s="110" t="str">
        <f ca="1">IFERROR(__xludf.DUMMYFUNCTION("""COMPUTED_VALUE"""),"ZŠ a DDM Krasohled Zábřeh ")</f>
        <v xml:space="preserve">ZŠ a DDM Krasohled Zábřeh </v>
      </c>
      <c r="D34" s="111" t="str">
        <f ca="1">IFERROR(__xludf.DUMMYFUNCTION("""COMPUTED_VALUE"""),"ZŠ")</f>
        <v>ZŠ</v>
      </c>
      <c r="E34" s="209">
        <f>MIN(F34:J34)</f>
        <v>5.9131944444444451E-5</v>
      </c>
      <c r="F34" s="210" t="str">
        <f>IF(L34=1,K34/$T$2*$S$2,IF(L34=2,K34/$T$2*$S$2*2,IF(L34="-",IF(K34="","",IF(ISTEXT(K34),K34,K34/$T$2)))))</f>
        <v/>
      </c>
      <c r="G34" s="211">
        <f>IF(N34=1,M34/$T$2*$S$2,IF(N34=2,M34/$T$2*$S$2*2,IF(N34="-",IF(M34="","",IF(ISTEXT(M34),M34,M34/$T$2)))))</f>
        <v>5.9131944444444451E-5</v>
      </c>
      <c r="H34" s="211" t="str">
        <f>IF(P34=1,O34/$T$2*$S$2,IF(P34=2,O34/$T$2*$S$2*2,IF(P34="-",IF(O34="","",IF(ISTEXT(O34),O34,O34/$T$2)))))</f>
        <v/>
      </c>
      <c r="I34" s="211" t="str">
        <f>IF(R34=1,Q34/$T$2*$S$2,IF(R34=2,Q34/$T$2*$S$2*2,IF(R34="-",IF(Q34="","",IF(ISTEXT(Q34),Q34,Q34/$T$2)))))</f>
        <v/>
      </c>
      <c r="J34" s="212">
        <v>4.1666666666666664E-2</v>
      </c>
      <c r="K34" s="214"/>
      <c r="L34" s="107" t="s">
        <v>44</v>
      </c>
      <c r="M34" s="220">
        <v>3.93</v>
      </c>
      <c r="N34" s="107">
        <v>1</v>
      </c>
      <c r="O34" s="109"/>
      <c r="P34" s="107" t="s">
        <v>44</v>
      </c>
      <c r="Q34" s="109"/>
      <c r="R34" s="107" t="s">
        <v>44</v>
      </c>
    </row>
    <row r="35" spans="1:18" ht="13.8">
      <c r="A35" s="15">
        <f ca="1">IFERROR(__xludf.DUMMYFUNCTION("""COMPUTED_VALUE"""),13)</f>
        <v>13</v>
      </c>
      <c r="B35" s="112" t="str">
        <f ca="1">IFERROR(__xludf.DUMMYFUNCTION("""COMPUTED_VALUE"""),"(J)elita z GVID")</f>
        <v>(J)elita z GVID</v>
      </c>
      <c r="C35" s="110" t="str">
        <f ca="1">IFERROR(__xludf.DUMMYFUNCTION("""COMPUTED_VALUE"""),"Gymnázium Brno, Vídeňská")</f>
        <v>Gymnázium Brno, Vídeňská</v>
      </c>
      <c r="D35" s="111" t="str">
        <f ca="1">IFERROR(__xludf.DUMMYFUNCTION("""COMPUTED_VALUE"""),"ZŠ")</f>
        <v>ZŠ</v>
      </c>
      <c r="E35" s="209">
        <f>MIN(F35:J35)</f>
        <v>5.914351851851852E-5</v>
      </c>
      <c r="F35" s="210">
        <f>IF(L35=1,K35/$T$2*$S$2,IF(L35=2,K35/$T$2*$S$2*2,IF(L35="-",IF(K35="","",IF(ISTEXT(K35),K35,K35/$T$2)))))</f>
        <v>6.0648148148148154E-5</v>
      </c>
      <c r="G35" s="211">
        <f>IF(N35=1,M35/$T$2*$S$2,IF(N35=2,M35/$T$2*$S$2*2,IF(N35="-",IF(M35="","",IF(ISTEXT(M35),M35,M35/$T$2)))))</f>
        <v>5.914351851851852E-5</v>
      </c>
      <c r="H35" s="211" t="str">
        <f>IF(P35=1,O35/$T$2*$S$2,IF(P35=2,O35/$T$2*$S$2*2,IF(P35="-",IF(O35="","",IF(ISTEXT(O35),O35,O35/$T$2)))))</f>
        <v/>
      </c>
      <c r="I35" s="211" t="str">
        <f>IF(R35=1,Q35/$T$2*$S$2,IF(R35=2,Q35/$T$2*$S$2*2,IF(R35="-",IF(Q35="","",IF(ISTEXT(Q35),Q35,Q35/$T$2)))))</f>
        <v/>
      </c>
      <c r="J35" s="212">
        <v>4.1666666666666664E-2</v>
      </c>
      <c r="K35" s="213">
        <v>5.24</v>
      </c>
      <c r="L35" s="107" t="s">
        <v>44</v>
      </c>
      <c r="M35" s="220">
        <v>5.1100000000000003</v>
      </c>
      <c r="N35" s="107" t="s">
        <v>44</v>
      </c>
      <c r="O35" s="109"/>
      <c r="P35" s="107" t="s">
        <v>44</v>
      </c>
      <c r="Q35" s="109"/>
      <c r="R35" s="107" t="s">
        <v>44</v>
      </c>
    </row>
    <row r="36" spans="1:18" ht="27.6">
      <c r="A36" s="15">
        <f ca="1">IFERROR(__xludf.DUMMYFUNCTION("""COMPUTED_VALUE"""),182)</f>
        <v>182</v>
      </c>
      <c r="B36" s="112" t="str">
        <f ca="1">IFERROR(__xludf.DUMMYFUNCTION("""COMPUTED_VALUE"""),"McGwoździe")</f>
        <v>McGwoździe</v>
      </c>
      <c r="C36" s="110" t="str">
        <f ca="1">IFERROR(__xludf.DUMMYFUNCTION("""COMPUTED_VALUE"""),"Zespół Szkół Technicznych Rybnik ")</f>
        <v xml:space="preserve">Zespół Szkół Technicznych Rybnik </v>
      </c>
      <c r="D36" s="111" t="str">
        <f ca="1">IFERROR(__xludf.DUMMYFUNCTION("""COMPUTED_VALUE"""),"SŠ (15-19 years)")</f>
        <v>SŠ (15-19 years)</v>
      </c>
      <c r="E36" s="209">
        <f>MIN(F36:J36)</f>
        <v>5.9733796296296295E-5</v>
      </c>
      <c r="F36" s="210" t="str">
        <f>IF(L36=1,K36/$T$2*$S$2,IF(L36=2,K36/$T$2*$S$2*2,IF(L36="-",IF(K36="","",IF(ISTEXT(K36),K36,K36/$T$2)))))</f>
        <v>dnf</v>
      </c>
      <c r="G36" s="211">
        <f>IF(N36=1,M36/$T$2*$S$2,IF(N36=2,M36/$T$2*$S$2*2,IF(N36="-",IF(M36="","",IF(ISTEXT(M36),M36,M36/$T$2)))))</f>
        <v>5.9733796296296295E-5</v>
      </c>
      <c r="H36" s="211" t="str">
        <f>IF(P36=1,O36/$T$2*$S$2,IF(P36=2,O36/$T$2*$S$2*2,IF(P36="-",IF(O36="","",IF(ISTEXT(O36),O36,O36/$T$2)))))</f>
        <v/>
      </c>
      <c r="I36" s="211" t="str">
        <f>IF(R36=1,Q36/$T$2*$S$2,IF(R36=2,Q36/$T$2*$S$2*2,IF(R36="-",IF(Q36="","",IF(ISTEXT(Q36),Q36,Q36/$T$2)))))</f>
        <v/>
      </c>
      <c r="J36" s="212">
        <v>4.1666666666666664E-2</v>
      </c>
      <c r="K36" s="213" t="s">
        <v>48</v>
      </c>
      <c r="L36" s="107" t="s">
        <v>44</v>
      </c>
      <c r="M36" s="220">
        <v>3.97</v>
      </c>
      <c r="N36" s="107">
        <v>1</v>
      </c>
      <c r="O36" s="109"/>
      <c r="P36" s="107" t="s">
        <v>44</v>
      </c>
      <c r="Q36" s="109"/>
      <c r="R36" s="107" t="s">
        <v>44</v>
      </c>
    </row>
    <row r="37" spans="1:18" ht="27.6">
      <c r="A37" s="15">
        <f ca="1">IFERROR(__xludf.DUMMYFUNCTION("""COMPUTED_VALUE"""),111)</f>
        <v>111</v>
      </c>
      <c r="B37" s="112" t="str">
        <f ca="1">IFERROR(__xludf.DUMMYFUNCTION("""COMPUTED_VALUE"""),"Čočkoboti")</f>
        <v>Čočkoboti</v>
      </c>
      <c r="C37" s="110" t="str">
        <f ca="1">IFERROR(__xludf.DUMMYFUNCTION("""COMPUTED_VALUE"""),"Biskupské gymnázium Hradec Králové")</f>
        <v>Biskupské gymnázium Hradec Králové</v>
      </c>
      <c r="D37" s="111" t="str">
        <f ca="1">IFERROR(__xludf.DUMMYFUNCTION("""COMPUTED_VALUE"""),"ZŠ")</f>
        <v>ZŠ</v>
      </c>
      <c r="E37" s="209">
        <f>MIN(F37:J37)</f>
        <v>6.184027777777778E-5</v>
      </c>
      <c r="F37" s="210">
        <f>IF(L37=1,K37/$T$2*$S$2,IF(L37=2,K37/$T$2*$S$2*2,IF(L37="-",IF(K37="","",IF(ISTEXT(K37),K37,K37/$T$2)))))</f>
        <v>6.184027777777778E-5</v>
      </c>
      <c r="G37" s="211">
        <f>IF(N37=1,M37/$T$2*$S$2,IF(N37=2,M37/$T$2*$S$2*2,IF(N37="-",IF(M37="","",IF(ISTEXT(M37),M37,M37/$T$2)))))</f>
        <v>6.3043981481481496E-5</v>
      </c>
      <c r="H37" s="211" t="str">
        <f>IF(P37=1,O37/$T$2*$S$2,IF(P37=2,O37/$T$2*$S$2*2,IF(P37="-",IF(O37="","",IF(ISTEXT(O37),O37,O37/$T$2)))))</f>
        <v/>
      </c>
      <c r="I37" s="211" t="str">
        <f>IF(R37=1,Q37/$T$2*$S$2,IF(R37=2,Q37/$T$2*$S$2*2,IF(R37="-",IF(Q37="","",IF(ISTEXT(Q37),Q37,Q37/$T$2)))))</f>
        <v/>
      </c>
      <c r="J37" s="212">
        <v>4.1666666666666664E-2</v>
      </c>
      <c r="K37" s="213">
        <v>4.1100000000000003</v>
      </c>
      <c r="L37" s="107">
        <v>1</v>
      </c>
      <c r="M37" s="220">
        <v>4.1900000000000004</v>
      </c>
      <c r="N37" s="107">
        <v>1</v>
      </c>
      <c r="O37" s="109"/>
      <c r="P37" s="107" t="s">
        <v>44</v>
      </c>
      <c r="Q37" s="109"/>
      <c r="R37" s="107" t="s">
        <v>44</v>
      </c>
    </row>
    <row r="38" spans="1:18" ht="27.6">
      <c r="A38" s="15">
        <f ca="1">IFERROR(__xludf.DUMMYFUNCTION("""COMPUTED_VALUE"""),45)</f>
        <v>45</v>
      </c>
      <c r="B38" s="129" t="str">
        <f ca="1">IFERROR(__xludf.DUMMYFUNCTION("""COMPUTED_VALUE"""),"Forest gump")</f>
        <v>Forest gump</v>
      </c>
      <c r="C38" s="120" t="str">
        <f ca="1">IFERROR(__xludf.DUMMYFUNCTION("""COMPUTED_VALUE"""),"SPŠ informačných technológií Kysucké Nové Mesto")</f>
        <v>SPŠ informačných technológií Kysucké Nové Mesto</v>
      </c>
      <c r="D38" s="128" t="str">
        <f ca="1">IFERROR(__xludf.DUMMYFUNCTION("""COMPUTED_VALUE"""),"SŠ")</f>
        <v>SŠ</v>
      </c>
      <c r="E38" s="209">
        <f>MIN(F38:J38)</f>
        <v>6.1921296296296288E-5</v>
      </c>
      <c r="F38" s="210" t="str">
        <f>IF(L38=1,K38/$T$2*$S$2,IF(L38=2,K38/$T$2*$S$2*2,IF(L38="-",IF(K38="","",IF(ISTEXT(K38),K38,K38/$T$2)))))</f>
        <v/>
      </c>
      <c r="G38" s="211">
        <f>IF(N38=1,M38/$T$2*$S$2,IF(N38=2,M38/$T$2*$S$2*2,IF(N38="-",IF(M38="","",IF(ISTEXT(M38),M38,M38/$T$2)))))</f>
        <v>6.1921296296296288E-5</v>
      </c>
      <c r="H38" s="211" t="str">
        <f>IF(P38=1,O38/$T$2*$S$2,IF(P38=2,O38/$T$2*$S$2*2,IF(P38="-",IF(O38="","",IF(ISTEXT(O38),O38,O38/$T$2)))))</f>
        <v/>
      </c>
      <c r="I38" s="211" t="str">
        <f>IF(R38=1,Q38/$T$2*$S$2,IF(R38=2,Q38/$T$2*$S$2*2,IF(R38="-",IF(Q38="","",IF(ISTEXT(Q38),Q38,Q38/$T$2)))))</f>
        <v/>
      </c>
      <c r="J38" s="212">
        <v>4.1666666666666664E-2</v>
      </c>
      <c r="K38" s="214"/>
      <c r="L38" s="107" t="s">
        <v>44</v>
      </c>
      <c r="M38" s="220">
        <v>5.35</v>
      </c>
      <c r="N38" s="107" t="s">
        <v>44</v>
      </c>
      <c r="O38" s="109"/>
      <c r="P38" s="107" t="s">
        <v>44</v>
      </c>
      <c r="Q38" s="109"/>
      <c r="R38" s="107" t="s">
        <v>44</v>
      </c>
    </row>
    <row r="39" spans="1:18" ht="27.6">
      <c r="A39" s="15">
        <f ca="1">IFERROR(__xludf.DUMMYFUNCTION("""COMPUTED_VALUE"""),188)</f>
        <v>188</v>
      </c>
      <c r="B39" s="112" t="str">
        <f ca="1">IFERROR(__xludf.DUMMYFUNCTION("""COMPUTED_VALUE"""),"Kyberneťáci")</f>
        <v>Kyberneťáci</v>
      </c>
      <c r="C39" s="110" t="str">
        <f ca="1">IFERROR(__xludf.DUMMYFUNCTION("""COMPUTED_VALUE"""),"Kroužky kybernetiky VŠB Ostrava")</f>
        <v>Kroužky kybernetiky VŠB Ostrava</v>
      </c>
      <c r="D39" s="111" t="str">
        <f ca="1">IFERROR(__xludf.DUMMYFUNCTION("""COMPUTED_VALUE"""),"SŠ")</f>
        <v>SŠ</v>
      </c>
      <c r="E39" s="209">
        <f>MIN(F39:J39)</f>
        <v>6.2268518518518521E-5</v>
      </c>
      <c r="F39" s="210">
        <f>IF(L39=1,K39/$T$2*$S$2,IF(L39=2,K39/$T$2*$S$2*2,IF(L39="-",IF(K39="","",IF(ISTEXT(K39),K39,K39/$T$2)))))</f>
        <v>6.2268518518518521E-5</v>
      </c>
      <c r="G39" s="211" t="str">
        <f>IF(N39=1,M39/$T$2*$S$2,IF(N39=2,M39/$T$2*$S$2*2,IF(N39="-",IF(M39="","",IF(ISTEXT(M39),M39,M39/$T$2)))))</f>
        <v/>
      </c>
      <c r="H39" s="211" t="str">
        <f>IF(P39=1,O39/$T$2*$S$2,IF(P39=2,O39/$T$2*$S$2*2,IF(P39="-",IF(O39="","",IF(ISTEXT(O39),O39,O39/$T$2)))))</f>
        <v/>
      </c>
      <c r="I39" s="211" t="str">
        <f>IF(R39=1,Q39/$T$2*$S$2,IF(R39=2,Q39/$T$2*$S$2*2,IF(R39="-",IF(Q39="","",IF(ISTEXT(Q39),Q39,Q39/$T$2)))))</f>
        <v/>
      </c>
      <c r="J39" s="212">
        <v>4.1666666666666664E-2</v>
      </c>
      <c r="K39" s="213">
        <v>5.38</v>
      </c>
      <c r="L39" s="107" t="s">
        <v>44</v>
      </c>
      <c r="M39" s="221"/>
      <c r="N39" s="107" t="s">
        <v>44</v>
      </c>
      <c r="O39" s="109"/>
      <c r="P39" s="107" t="s">
        <v>44</v>
      </c>
      <c r="Q39" s="109"/>
      <c r="R39" s="107" t="s">
        <v>44</v>
      </c>
    </row>
    <row r="40" spans="1:18" ht="13.8">
      <c r="A40" s="15">
        <f ca="1">IFERROR(__xludf.DUMMYFUNCTION("""COMPUTED_VALUE"""),38)</f>
        <v>38</v>
      </c>
      <c r="B40" s="112" t="str">
        <f ca="1">IFERROR(__xludf.DUMMYFUNCTION("""COMPUTED_VALUE"""),"JP")</f>
        <v>JP</v>
      </c>
      <c r="C40" s="120" t="str">
        <f ca="1">IFERROR(__xludf.DUMMYFUNCTION("""COMPUTED_VALUE"""),"Gymnázium Zábřeh")</f>
        <v>Gymnázium Zábřeh</v>
      </c>
      <c r="D40" s="111" t="str">
        <f ca="1">IFERROR(__xludf.DUMMYFUNCTION("""COMPUTED_VALUE"""),"ZŠ")</f>
        <v>ZŠ</v>
      </c>
      <c r="E40" s="209">
        <f>MIN(F40:J40)</f>
        <v>6.2743055555555564E-5</v>
      </c>
      <c r="F40" s="210">
        <f>IF(L40=1,K40/$T$2*$S$2,IF(L40=2,K40/$T$2*$S$2*2,IF(L40="-",IF(K40="","",IF(ISTEXT(K40),K40,K40/$T$2)))))</f>
        <v>6.2743055555555564E-5</v>
      </c>
      <c r="G40" s="211">
        <f>IF(N40=1,M40/$T$2*$S$2,IF(N40=2,M40/$T$2*$S$2*2,IF(N40="-",IF(M40="","",IF(ISTEXT(M40),M40,M40/$T$2)))))</f>
        <v>6.2893518518518523E-5</v>
      </c>
      <c r="H40" s="211" t="str">
        <f>IF(P40=1,O40/$T$2*$S$2,IF(P40=2,O40/$T$2*$S$2*2,IF(P40="-",IF(O40="","",IF(ISTEXT(O40),O40,O40/$T$2)))))</f>
        <v/>
      </c>
      <c r="I40" s="211" t="str">
        <f>IF(R40=1,Q40/$T$2*$S$2,IF(R40=2,Q40/$T$2*$S$2*2,IF(R40="-",IF(Q40="","",IF(ISTEXT(Q40),Q40,Q40/$T$2)))))</f>
        <v/>
      </c>
      <c r="J40" s="212">
        <v>4.1666666666666664E-2</v>
      </c>
      <c r="K40" s="213">
        <v>4.17</v>
      </c>
      <c r="L40" s="107">
        <v>1</v>
      </c>
      <c r="M40" s="220">
        <v>4.18</v>
      </c>
      <c r="N40" s="107">
        <v>1</v>
      </c>
      <c r="O40" s="109"/>
      <c r="P40" s="107" t="s">
        <v>44</v>
      </c>
      <c r="Q40" s="109"/>
      <c r="R40" s="107" t="s">
        <v>44</v>
      </c>
    </row>
    <row r="41" spans="1:18" ht="13.8">
      <c r="A41" s="15">
        <f ca="1">IFERROR(__xludf.DUMMYFUNCTION("""COMPUTED_VALUE"""),127)</f>
        <v>127</v>
      </c>
      <c r="B41" s="112" t="str">
        <f ca="1">IFERROR(__xludf.DUMMYFUNCTION("""COMPUTED_VALUE"""),"DarkTeam")</f>
        <v>DarkTeam</v>
      </c>
      <c r="C41" s="110" t="str">
        <f ca="1">IFERROR(__xludf.DUMMYFUNCTION("""COMPUTED_VALUE"""),"Gymnázium Lanškroun")</f>
        <v>Gymnázium Lanškroun</v>
      </c>
      <c r="D41" s="111" t="str">
        <f ca="1">IFERROR(__xludf.DUMMYFUNCTION("""COMPUTED_VALUE"""),"ZŠ")</f>
        <v>ZŠ</v>
      </c>
      <c r="E41" s="209">
        <f>MIN(F41:J41)</f>
        <v>6.4236111111111115E-5</v>
      </c>
      <c r="F41" s="210">
        <f>IF(L41=1,K41/$T$2*$S$2,IF(L41=2,K41/$T$2*$S$2*2,IF(L41="-",IF(K41="","",IF(ISTEXT(K41),K41,K41/$T$2)))))</f>
        <v>6.4236111111111115E-5</v>
      </c>
      <c r="G41" s="211">
        <f>IF(N41=1,M41/$T$2*$S$2,IF(N41=2,M41/$T$2*$S$2*2,IF(N41="-",IF(M41="","",IF(ISTEXT(M41),M41,M41/$T$2)))))</f>
        <v>6.4930555555555556E-5</v>
      </c>
      <c r="H41" s="211" t="str">
        <f>IF(P41=1,O41/$T$2*$S$2,IF(P41=2,O41/$T$2*$S$2*2,IF(P41="-",IF(O41="","",IF(ISTEXT(O41),O41,O41/$T$2)))))</f>
        <v/>
      </c>
      <c r="I41" s="211" t="str">
        <f>IF(R41=1,Q41/$T$2*$S$2,IF(R41=2,Q41/$T$2*$S$2*2,IF(R41="-",IF(Q41="","",IF(ISTEXT(Q41),Q41,Q41/$T$2)))))</f>
        <v/>
      </c>
      <c r="J41" s="212">
        <v>4.1666666666666664E-2</v>
      </c>
      <c r="K41" s="213">
        <v>5.55</v>
      </c>
      <c r="L41" s="107" t="s">
        <v>44</v>
      </c>
      <c r="M41" s="220">
        <v>5.61</v>
      </c>
      <c r="N41" s="107" t="s">
        <v>44</v>
      </c>
      <c r="O41" s="109"/>
      <c r="P41" s="107" t="s">
        <v>44</v>
      </c>
      <c r="Q41" s="109"/>
      <c r="R41" s="107" t="s">
        <v>44</v>
      </c>
    </row>
    <row r="42" spans="1:18" ht="27.6">
      <c r="A42" s="15">
        <f ca="1">IFERROR(__xludf.DUMMYFUNCTION("""COMPUTED_VALUE"""),25)</f>
        <v>25</v>
      </c>
      <c r="B42" s="112" t="str">
        <f ca="1">IFERROR(__xludf.DUMMYFUNCTION("""COMPUTED_VALUE"""),"Junioři z Robotárny")</f>
        <v>Junioři z Robotárny</v>
      </c>
      <c r="C42" s="120" t="str">
        <f ca="1">IFERROR(__xludf.DUMMYFUNCTION("""COMPUTED_VALUE"""),"Robotárna DDM Helceletova Brno")</f>
        <v>Robotárna DDM Helceletova Brno</v>
      </c>
      <c r="D42" s="111" t="str">
        <f ca="1">IFERROR(__xludf.DUMMYFUNCTION("""COMPUTED_VALUE"""),"SŠ")</f>
        <v>SŠ</v>
      </c>
      <c r="E42" s="209">
        <f>MIN(F42:J42)</f>
        <v>7.8472222222222222E-5</v>
      </c>
      <c r="F42" s="210" t="str">
        <f>IF(L42=1,K42/$T$2*$S$2,IF(L42=2,K42/$T$2*$S$2*2,IF(L42="-",IF(K42="","",IF(ISTEXT(K42),K42,K42/$T$2)))))</f>
        <v>dnf</v>
      </c>
      <c r="G42" s="211">
        <f>IF(N42=1,M42/$T$2*$S$2,IF(N42=2,M42/$T$2*$S$2*2,IF(N42="-",IF(M42="","",IF(ISTEXT(M42),M42,M42/$T$2)))))</f>
        <v>7.8472222222222222E-5</v>
      </c>
      <c r="H42" s="211" t="str">
        <f>IF(P42=1,O42/$T$2*$S$2,IF(P42=2,O42/$T$2*$S$2*2,IF(P42="-",IF(O42="","",IF(ISTEXT(O42),O42,O42/$T$2)))))</f>
        <v/>
      </c>
      <c r="I42" s="211" t="str">
        <f>IF(R42=1,Q42/$T$2*$S$2,IF(R42=2,Q42/$T$2*$S$2*2,IF(R42="-",IF(Q42="","",IF(ISTEXT(Q42),Q42,Q42/$T$2)))))</f>
        <v/>
      </c>
      <c r="J42" s="212">
        <v>4.1666666666666664E-2</v>
      </c>
      <c r="K42" s="213" t="s">
        <v>48</v>
      </c>
      <c r="L42" s="107" t="s">
        <v>44</v>
      </c>
      <c r="M42" s="220">
        <v>6.78</v>
      </c>
      <c r="N42" s="107" t="s">
        <v>44</v>
      </c>
      <c r="O42" s="109"/>
      <c r="P42" s="107" t="s">
        <v>44</v>
      </c>
      <c r="Q42" s="109"/>
      <c r="R42" s="107" t="s">
        <v>44</v>
      </c>
    </row>
    <row r="43" spans="1:18" ht="13.8">
      <c r="A43" s="15">
        <f ca="1">IFERROR(__xludf.DUMMYFUNCTION("""COMPUTED_VALUE"""),109)</f>
        <v>109</v>
      </c>
      <c r="B43" s="132" t="str">
        <f ca="1">IFERROR(__xludf.DUMMYFUNCTION("""COMPUTED_VALUE"""),"Oh'Reilly")</f>
        <v>Oh'Reilly</v>
      </c>
      <c r="C43" s="110" t="str">
        <f ca="1">IFERROR(__xludf.DUMMYFUNCTION("""COMPUTED_VALUE"""),"DDM Praha 6")</f>
        <v>DDM Praha 6</v>
      </c>
      <c r="D43" s="111" t="str">
        <f ca="1">IFERROR(__xludf.DUMMYFUNCTION("""COMPUTED_VALUE"""),"ZŠ")</f>
        <v>ZŠ</v>
      </c>
      <c r="E43" s="209">
        <f>MIN(F43:J43)</f>
        <v>8.0208333333333336E-5</v>
      </c>
      <c r="F43" s="210">
        <f>IF(L43=1,K43/$T$2*$S$2,IF(L43=2,K43/$T$2*$S$2*2,IF(L43="-",IF(K43="","",IF(ISTEXT(K43),K43,K43/$T$2)))))</f>
        <v>8.0208333333333336E-5</v>
      </c>
      <c r="G43" s="211">
        <f>IF(N43=1,M43/$T$2*$S$2,IF(N43=2,M43/$T$2*$S$2*2,IF(N43="-",IF(M43="","",IF(ISTEXT(M43),M43,M43/$T$2)))))</f>
        <v>9.0393518518518514E-5</v>
      </c>
      <c r="H43" s="211" t="str">
        <f>IF(P43=1,O43/$T$2*$S$2,IF(P43=2,O43/$T$2*$S$2*2,IF(P43="-",IF(O43="","",IF(ISTEXT(O43),O43,O43/$T$2)))))</f>
        <v/>
      </c>
      <c r="I43" s="211" t="str">
        <f>IF(R43=1,Q43/$T$2*$S$2,IF(R43=2,Q43/$T$2*$S$2*2,IF(R43="-",IF(Q43="","",IF(ISTEXT(Q43),Q43,Q43/$T$2)))))</f>
        <v/>
      </c>
      <c r="J43" s="212">
        <v>4.1666666666666664E-2</v>
      </c>
      <c r="K43" s="213">
        <v>6.93</v>
      </c>
      <c r="L43" s="107" t="s">
        <v>44</v>
      </c>
      <c r="M43" s="220">
        <v>7.81</v>
      </c>
      <c r="N43" s="107" t="s">
        <v>44</v>
      </c>
      <c r="O43" s="109"/>
      <c r="P43" s="107" t="s">
        <v>44</v>
      </c>
      <c r="Q43" s="109"/>
      <c r="R43" s="107" t="s">
        <v>44</v>
      </c>
    </row>
    <row r="44" spans="1:18" ht="13.8">
      <c r="A44" s="34">
        <f ca="1">IFERROR(__xludf.DUMMYFUNCTION("""COMPUTED_VALUE"""),8)</f>
        <v>8</v>
      </c>
      <c r="B44" s="112" t="str">
        <f ca="1">IFERROR(__xludf.DUMMYFUNCTION("""COMPUTED_VALUE"""),"BeneFuk")</f>
        <v>BeneFuk</v>
      </c>
      <c r="C44" s="110" t="str">
        <f ca="1">IFERROR(__xludf.DUMMYFUNCTION("""COMPUTED_VALUE"""),"Gymnázium a ZUŠ Šlapanice")</f>
        <v>Gymnázium a ZUŠ Šlapanice</v>
      </c>
      <c r="D44" s="111" t="str">
        <f ca="1">IFERROR(__xludf.DUMMYFUNCTION("""COMPUTED_VALUE"""),"ZŠ")</f>
        <v>ZŠ</v>
      </c>
      <c r="E44" s="209">
        <f>MIN(F44:J44)</f>
        <v>8.0902777777777776E-5</v>
      </c>
      <c r="F44" s="210">
        <f>IF(L44=1,K44/$T$2*$S$2,IF(L44=2,K44/$T$2*$S$2*2,IF(L44="-",IF(K44="","",IF(ISTEXT(K44),K44,K44/$T$2)))))</f>
        <v>8.3449074074074071E-5</v>
      </c>
      <c r="G44" s="211">
        <f>IF(N44=1,M44/$T$2*$S$2,IF(N44=2,M44/$T$2*$S$2*2,IF(N44="-",IF(M44="","",IF(ISTEXT(M44),M44,M44/$T$2)))))</f>
        <v>8.0902777777777776E-5</v>
      </c>
      <c r="H44" s="211" t="str">
        <f>IF(P44=1,O44/$T$2*$S$2,IF(P44=2,O44/$T$2*$S$2*2,IF(P44="-",IF(O44="","",IF(ISTEXT(O44),O44,O44/$T$2)))))</f>
        <v/>
      </c>
      <c r="I44" s="211" t="str">
        <f>IF(R44=1,Q44/$T$2*$S$2,IF(R44=2,Q44/$T$2*$S$2*2,IF(R44="-",IF(Q44="","",IF(ISTEXT(Q44),Q44,Q44/$T$2)))))</f>
        <v/>
      </c>
      <c r="J44" s="212">
        <v>4.1666666666666664E-2</v>
      </c>
      <c r="K44" s="213">
        <v>7.21</v>
      </c>
      <c r="L44" s="107" t="s">
        <v>44</v>
      </c>
      <c r="M44" s="220">
        <v>6.99</v>
      </c>
      <c r="N44" s="107" t="s">
        <v>44</v>
      </c>
      <c r="O44" s="109"/>
      <c r="P44" s="107" t="s">
        <v>44</v>
      </c>
      <c r="Q44" s="109"/>
      <c r="R44" s="107" t="s">
        <v>44</v>
      </c>
    </row>
    <row r="45" spans="1:18" ht="13.8">
      <c r="A45" s="15">
        <f ca="1">IFERROR(__xludf.DUMMYFUNCTION("""COMPUTED_VALUE"""),128)</f>
        <v>128</v>
      </c>
      <c r="B45" s="112" t="str">
        <f ca="1">IFERROR(__xludf.DUMMYFUNCTION("""COMPUTED_VALUE"""),"R.U.R. Gybot")</f>
        <v>R.U.R. Gybot</v>
      </c>
      <c r="C45" s="110" t="str">
        <f ca="1">IFERROR(__xludf.DUMMYFUNCTION("""COMPUTED_VALUE"""),"Gymnázium Praha, Botičská")</f>
        <v>Gymnázium Praha, Botičská</v>
      </c>
      <c r="D45" s="111" t="str">
        <f ca="1">IFERROR(__xludf.DUMMYFUNCTION("""COMPUTED_VALUE"""),"SŠ")</f>
        <v>SŠ</v>
      </c>
      <c r="E45" s="209">
        <f>MIN(F45:J45)</f>
        <v>9.0740740740740734E-5</v>
      </c>
      <c r="F45" s="210" t="str">
        <f>IF(L45=1,K45/$T$2*$S$2,IF(L45=2,K45/$T$2*$S$2*2,IF(L45="-",IF(K45="","",IF(ISTEXT(K45),K45,K45/$T$2)))))</f>
        <v>dnf</v>
      </c>
      <c r="G45" s="211">
        <f>IF(N45=1,M45/$T$2*$S$2,IF(N45=2,M45/$T$2*$S$2*2,IF(N45="-",IF(M45="","",IF(ISTEXT(M45),M45,M45/$T$2)))))</f>
        <v>9.0740740740740734E-5</v>
      </c>
      <c r="H45" s="211" t="str">
        <f>IF(P45=1,O45/$T$2*$S$2,IF(P45=2,O45/$T$2*$S$2*2,IF(P45="-",IF(O45="","",IF(ISTEXT(O45),O45,O45/$T$2)))))</f>
        <v/>
      </c>
      <c r="I45" s="211" t="str">
        <f>IF(R45=1,Q45/$T$2*$S$2,IF(R45=2,Q45/$T$2*$S$2*2,IF(R45="-",IF(Q45="","",IF(ISTEXT(Q45),Q45,Q45/$T$2)))))</f>
        <v/>
      </c>
      <c r="J45" s="212">
        <v>4.1666666666666664E-2</v>
      </c>
      <c r="K45" s="213" t="s">
        <v>48</v>
      </c>
      <c r="L45" s="107" t="s">
        <v>44</v>
      </c>
      <c r="M45" s="220">
        <v>7.84</v>
      </c>
      <c r="N45" s="107" t="s">
        <v>44</v>
      </c>
      <c r="O45" s="109"/>
      <c r="P45" s="107" t="s">
        <v>44</v>
      </c>
      <c r="Q45" s="109"/>
      <c r="R45" s="107" t="s">
        <v>44</v>
      </c>
    </row>
    <row r="46" spans="1:18" ht="13.8">
      <c r="A46" s="15">
        <f ca="1">IFERROR(__xludf.DUMMYFUNCTION("""COMPUTED_VALUE"""),160)</f>
        <v>160</v>
      </c>
      <c r="B46" s="112" t="str">
        <f ca="1">IFERROR(__xludf.DUMMYFUNCTION("""COMPUTED_VALUE"""),"Holi Moli")</f>
        <v>Holi Moli</v>
      </c>
      <c r="C46" s="110" t="str">
        <f ca="1">IFERROR(__xludf.DUMMYFUNCTION("""COMPUTED_VALUE"""),"ZŠ Edvarda Beneše Lysice")</f>
        <v>ZŠ Edvarda Beneše Lysice</v>
      </c>
      <c r="D46" s="111" t="str">
        <f ca="1">IFERROR(__xludf.DUMMYFUNCTION("""COMPUTED_VALUE"""),"ZŠ")</f>
        <v>ZŠ</v>
      </c>
      <c r="E46" s="209">
        <f>MIN(F46:J46)</f>
        <v>1.1064814814814816E-4</v>
      </c>
      <c r="F46" s="210" t="str">
        <f>IF(L46=1,K46/$T$2*$S$2,IF(L46=2,K46/$T$2*$S$2*2,IF(L46="-",IF(K46="","",IF(ISTEXT(K46),K46,K46/$T$2)))))</f>
        <v/>
      </c>
      <c r="G46" s="211">
        <f>IF(N46=1,M46/$T$2*$S$2,IF(N46=2,M46/$T$2*$S$2*2,IF(N46="-",IF(M46="","",IF(ISTEXT(M46),M46,M46/$T$2)))))</f>
        <v>1.1064814814814816E-4</v>
      </c>
      <c r="H46" s="211" t="str">
        <f>IF(P46=1,O46/$T$2*$S$2,IF(P46=2,O46/$T$2*$S$2*2,IF(P46="-",IF(O46="","",IF(ISTEXT(O46),O46,O46/$T$2)))))</f>
        <v/>
      </c>
      <c r="I46" s="211" t="str">
        <f>IF(R46=1,Q46/$T$2*$S$2,IF(R46=2,Q46/$T$2*$S$2*2,IF(R46="-",IF(Q46="","",IF(ISTEXT(Q46),Q46,Q46/$T$2)))))</f>
        <v/>
      </c>
      <c r="J46" s="212">
        <v>4.1666666666666664E-2</v>
      </c>
      <c r="K46" s="214"/>
      <c r="L46" s="107" t="s">
        <v>44</v>
      </c>
      <c r="M46" s="220">
        <v>9.56</v>
      </c>
      <c r="N46" s="107" t="s">
        <v>44</v>
      </c>
      <c r="O46" s="109"/>
      <c r="P46" s="107" t="s">
        <v>44</v>
      </c>
      <c r="Q46" s="109"/>
      <c r="R46" s="107" t="s">
        <v>44</v>
      </c>
    </row>
    <row r="47" spans="1:18" ht="27.6">
      <c r="A47" s="15">
        <f ca="1">IFERROR(__xludf.DUMMYFUNCTION("""COMPUTED_VALUE"""),35)</f>
        <v>35</v>
      </c>
      <c r="B47" s="112" t="str">
        <f ca="1">IFERROR(__xludf.DUMMYFUNCTION("""COMPUTED_VALUE"""),"Eccentricity")</f>
        <v>Eccentricity</v>
      </c>
      <c r="C47" s="110" t="str">
        <f ca="1">IFERROR(__xludf.DUMMYFUNCTION("""COMPUTED_VALUE"""),"Škola č.35 Iževsk (RU)")</f>
        <v>Škola č.35 Iževsk (RU)</v>
      </c>
      <c r="D47" s="111" t="str">
        <f ca="1">IFERROR(__xludf.DUMMYFUNCTION("""COMPUTED_VALUE"""),"SŠ (15-19 years)")</f>
        <v>SŠ (15-19 years)</v>
      </c>
      <c r="E47" s="209">
        <f>MIN(F47:J47)</f>
        <v>1.1666666666666667E-4</v>
      </c>
      <c r="F47" s="210" t="str">
        <f>IF(L47=1,K47/$T$2*$S$2,IF(L47=2,K47/$T$2*$S$2*2,IF(L47="-",IF(K47="","",IF(ISTEXT(K47),K47,K47/$T$2)))))</f>
        <v/>
      </c>
      <c r="G47" s="211">
        <f>IF(N47=1,M47/$T$2*$S$2,IF(N47=2,M47/$T$2*$S$2*2,IF(N47="-",IF(M47="","",IF(ISTEXT(M47),M47,M47/$T$2)))))</f>
        <v>1.1666666666666667E-4</v>
      </c>
      <c r="H47" s="211" t="str">
        <f>IF(P47=1,O47/$T$2*$S$2,IF(P47=2,O47/$T$2*$S$2*2,IF(P47="-",IF(O47="","",IF(ISTEXT(O47),O47,O47/$T$2)))))</f>
        <v/>
      </c>
      <c r="I47" s="211" t="str">
        <f>IF(R47=1,Q47/$T$2*$S$2,IF(R47=2,Q47/$T$2*$S$2*2,IF(R47="-",IF(Q47="","",IF(ISTEXT(Q47),Q47,Q47/$T$2)))))</f>
        <v/>
      </c>
      <c r="J47" s="212">
        <v>4.1666666666666664E-2</v>
      </c>
      <c r="K47" s="214"/>
      <c r="L47" s="107" t="s">
        <v>44</v>
      </c>
      <c r="M47" s="220">
        <v>10.08</v>
      </c>
      <c r="N47" s="107" t="s">
        <v>44</v>
      </c>
      <c r="O47" s="109"/>
      <c r="P47" s="107" t="s">
        <v>44</v>
      </c>
      <c r="Q47" s="109"/>
      <c r="R47" s="107" t="s">
        <v>44</v>
      </c>
    </row>
    <row r="48" spans="1:18" ht="27.6">
      <c r="A48" s="15">
        <f ca="1">IFERROR(__xludf.DUMMYFUNCTION("""COMPUTED_VALUE"""),136)</f>
        <v>136</v>
      </c>
      <c r="B48" s="112" t="str">
        <f ca="1">IFERROR(__xludf.DUMMYFUNCTION("""COMPUTED_VALUE"""),"RoBookWorms")</f>
        <v>RoBookWorms</v>
      </c>
      <c r="C48" s="110" t="str">
        <f ca="1">IFERROR(__xludf.DUMMYFUNCTION("""COMPUTED_VALUE"""),"Městská knihovna Česká Třebová")</f>
        <v>Městská knihovna Česká Třebová</v>
      </c>
      <c r="D48" s="111" t="str">
        <f ca="1">IFERROR(__xludf.DUMMYFUNCTION("""COMPUTED_VALUE"""),"ZŠ")</f>
        <v>ZŠ</v>
      </c>
      <c r="E48" s="209">
        <f>MIN(F48:J48)</f>
        <v>1.3030092592592593E-4</v>
      </c>
      <c r="F48" s="210" t="str">
        <f>IF(L48=1,K48/$T$2*$S$2,IF(L48=2,K48/$T$2*$S$2*2,IF(L48="-",IF(K48="","",IF(ISTEXT(K48),K48,K48/$T$2)))))</f>
        <v>dnf</v>
      </c>
      <c r="G48" s="211">
        <f>IF(N48=1,M48/$T$2*$S$2,IF(N48=2,M48/$T$2*$S$2*2,IF(N48="-",IF(M48="","",IF(ISTEXT(M48),M48,M48/$T$2)))))</f>
        <v>1.3030092592592593E-4</v>
      </c>
      <c r="H48" s="211" t="str">
        <f>IF(P48=1,O48/$T$2*$S$2,IF(P48=2,O48/$T$2*$S$2*2,IF(P48="-",IF(O48="","",IF(ISTEXT(O48),O48,O48/$T$2)))))</f>
        <v/>
      </c>
      <c r="I48" s="211" t="str">
        <f>IF(R48=1,Q48/$T$2*$S$2,IF(R48=2,Q48/$T$2*$S$2*2,IF(R48="-",IF(Q48="","",IF(ISTEXT(Q48),Q48,Q48/$T$2)))))</f>
        <v/>
      </c>
      <c r="J48" s="212">
        <v>4.1666666666666664E-2</v>
      </c>
      <c r="K48" s="213" t="s">
        <v>48</v>
      </c>
      <c r="L48" s="107" t="s">
        <v>44</v>
      </c>
      <c r="M48" s="220">
        <v>4.33</v>
      </c>
      <c r="N48" s="107">
        <v>2</v>
      </c>
      <c r="O48" s="109"/>
      <c r="P48" s="107" t="s">
        <v>44</v>
      </c>
      <c r="Q48" s="109"/>
      <c r="R48" s="107" t="s">
        <v>44</v>
      </c>
    </row>
    <row r="49" spans="1:18" ht="27.6">
      <c r="A49" s="15">
        <f ca="1">IFERROR(__xludf.DUMMYFUNCTION("""COMPUTED_VALUE"""),14)</f>
        <v>14</v>
      </c>
      <c r="B49" s="112" t="str">
        <f ca="1">IFERROR(__xludf.DUMMYFUNCTION("""COMPUTED_VALUE"""),"NOX")</f>
        <v>NOX</v>
      </c>
      <c r="C49" s="110" t="str">
        <f ca="1">IFERROR(__xludf.DUMMYFUNCTION("""COMPUTED_VALUE"""),"Gymnázium Matyáše Lercha Brno")</f>
        <v>Gymnázium Matyáše Lercha Brno</v>
      </c>
      <c r="D49" s="111" t="str">
        <f ca="1">IFERROR(__xludf.DUMMYFUNCTION("""COMPUTED_VALUE"""),"ZŠ")</f>
        <v>ZŠ</v>
      </c>
      <c r="E49" s="209">
        <f>MIN(F49:J49)</f>
        <v>1.9699074074074074E-4</v>
      </c>
      <c r="F49" s="210">
        <f>IF(L49=1,K49/$T$2*$S$2,IF(L49=2,K49/$T$2*$S$2*2,IF(L49="-",IF(K49="","",IF(ISTEXT(K49),K49,K49/$T$2)))))</f>
        <v>1.9826388888888888E-4</v>
      </c>
      <c r="G49" s="211">
        <f>IF(N49=1,M49/$T$2*$S$2,IF(N49=2,M49/$T$2*$S$2*2,IF(N49="-",IF(M49="","",IF(ISTEXT(M49),M49,M49/$T$2)))))</f>
        <v>1.9699074074074074E-4</v>
      </c>
      <c r="H49" s="211" t="str">
        <f>IF(P49=1,O49/$T$2*$S$2,IF(P49=2,O49/$T$2*$S$2*2,IF(P49="-",IF(O49="","",IF(ISTEXT(O49),O49,O49/$T$2)))))</f>
        <v/>
      </c>
      <c r="I49" s="211" t="str">
        <f>IF(R49=1,Q49/$T$2*$S$2,IF(R49=2,Q49/$T$2*$S$2*2,IF(R49="-",IF(Q49="","",IF(ISTEXT(Q49),Q49,Q49/$T$2)))))</f>
        <v/>
      </c>
      <c r="J49" s="212">
        <v>4.1666666666666664E-2</v>
      </c>
      <c r="K49" s="213">
        <v>17.13</v>
      </c>
      <c r="L49" s="107" t="s">
        <v>44</v>
      </c>
      <c r="M49" s="220">
        <v>17.02</v>
      </c>
      <c r="N49" s="107" t="s">
        <v>44</v>
      </c>
      <c r="O49" s="109"/>
      <c r="P49" s="107" t="s">
        <v>44</v>
      </c>
      <c r="Q49" s="109"/>
      <c r="R49" s="107" t="s">
        <v>44</v>
      </c>
    </row>
    <row r="50" spans="1:18" ht="13.8">
      <c r="A50" s="15">
        <f ca="1">IFERROR(__xludf.DUMMYFUNCTION("""COMPUTED_VALUE"""),116)</f>
        <v>116</v>
      </c>
      <c r="B50" s="131" t="str">
        <f ca="1">IFERROR(__xludf.DUMMYFUNCTION("""COMPUTED_VALUE"""),"Robokrug")</f>
        <v>Robokrug</v>
      </c>
      <c r="C50" s="120" t="str">
        <f ca="1">IFERROR(__xludf.DUMMYFUNCTION("""COMPUTED_VALUE"""),"DDM Ostrava Poruba ")</f>
        <v xml:space="preserve">DDM Ostrava Poruba </v>
      </c>
      <c r="D50" s="128" t="str">
        <f ca="1">IFERROR(__xludf.DUMMYFUNCTION("""COMPUTED_VALUE"""),"ZŠ")</f>
        <v>ZŠ</v>
      </c>
      <c r="E50" s="209">
        <f>MIN(F50:J50)</f>
        <v>2.2731481481481482E-4</v>
      </c>
      <c r="F50" s="210" t="str">
        <f>IF(L50=1,K50/$T$2*$S$2,IF(L50=2,K50/$T$2*$S$2*2,IF(L50="-",IF(K50="","",IF(ISTEXT(K50),K50,K50/$T$2)))))</f>
        <v>dnf</v>
      </c>
      <c r="G50" s="211">
        <f>IF(N50=1,M50/$T$2*$S$2,IF(N50=2,M50/$T$2*$S$2*2,IF(N50="-",IF(M50="","",IF(ISTEXT(M50),M50,M50/$T$2)))))</f>
        <v>2.2731481481481482E-4</v>
      </c>
      <c r="H50" s="211" t="str">
        <f>IF(P50=1,O50/$T$2*$S$2,IF(P50=2,O50/$T$2*$S$2*2,IF(P50="-",IF(O50="","",IF(ISTEXT(O50),O50,O50/$T$2)))))</f>
        <v/>
      </c>
      <c r="I50" s="211" t="str">
        <f>IF(R50=1,Q50/$T$2*$S$2,IF(R50=2,Q50/$T$2*$S$2*2,IF(R50="-",IF(Q50="","",IF(ISTEXT(Q50),Q50,Q50/$T$2)))))</f>
        <v/>
      </c>
      <c r="J50" s="212">
        <v>4.1666666666666664E-2</v>
      </c>
      <c r="K50" s="213" t="s">
        <v>48</v>
      </c>
      <c r="L50" s="107" t="s">
        <v>44</v>
      </c>
      <c r="M50" s="220">
        <v>19.64</v>
      </c>
      <c r="N50" s="107" t="s">
        <v>44</v>
      </c>
      <c r="O50" s="109"/>
      <c r="P50" s="107" t="s">
        <v>44</v>
      </c>
      <c r="Q50" s="109"/>
      <c r="R50" s="107" t="s">
        <v>44</v>
      </c>
    </row>
    <row r="51" spans="1:18" ht="13.8">
      <c r="A51" s="15">
        <f ca="1">IFERROR(__xludf.DUMMYFUNCTION("""COMPUTED_VALUE"""),11)</f>
        <v>11</v>
      </c>
      <c r="B51" s="112" t="str">
        <f ca="1">IFERROR(__xludf.DUMMYFUNCTION("""COMPUTED_VALUE"""),"Gymbos2")</f>
        <v>Gymbos2</v>
      </c>
      <c r="C51" s="110" t="str">
        <f ca="1">IFERROR(__xludf.DUMMYFUNCTION("""COMPUTED_VALUE"""),"Gymnázium Boskovice")</f>
        <v>Gymnázium Boskovice</v>
      </c>
      <c r="D51" s="111" t="str">
        <f ca="1">IFERROR(__xludf.DUMMYFUNCTION("""COMPUTED_VALUE"""),"ZŠ")</f>
        <v>ZŠ</v>
      </c>
      <c r="E51" s="209">
        <f>MIN(F51:J51)</f>
        <v>4.1666666666666664E-2</v>
      </c>
      <c r="F51" s="210" t="str">
        <f>IF(L51=1,K51/$T$2*$S$2,IF(L51=2,K51/$T$2*$S$2*2,IF(L51="-",IF(K51="","",IF(ISTEXT(K51),K51,K51/$T$2)))))</f>
        <v>DNF</v>
      </c>
      <c r="G51" s="211" t="str">
        <f>IF(N51=1,M51/$T$2*$S$2,IF(N51=2,M51/$T$2*$S$2*2,IF(N51="-",IF(M51="","",IF(ISTEXT(M51),M51,M51/$T$2)))))</f>
        <v/>
      </c>
      <c r="H51" s="211" t="str">
        <f>IF(P51=1,O51/$T$2*$S$2,IF(P51=2,O51/$T$2*$S$2*2,IF(P51="-",IF(O51="","",IF(ISTEXT(O51),O51,O51/$T$2)))))</f>
        <v/>
      </c>
      <c r="I51" s="211" t="str">
        <f>IF(R51=1,Q51/$T$2*$S$2,IF(R51=2,Q51/$T$2*$S$2*2,IF(R51="-",IF(Q51="","",IF(ISTEXT(Q51),Q51,Q51/$T$2)))))</f>
        <v/>
      </c>
      <c r="J51" s="212">
        <v>4.1666666666666664E-2</v>
      </c>
      <c r="K51" s="213" t="s">
        <v>43</v>
      </c>
      <c r="L51" s="107" t="s">
        <v>44</v>
      </c>
      <c r="M51" s="221"/>
      <c r="N51" s="107" t="s">
        <v>44</v>
      </c>
      <c r="O51" s="109"/>
      <c r="P51" s="107" t="s">
        <v>44</v>
      </c>
      <c r="Q51" s="109"/>
      <c r="R51" s="107" t="s">
        <v>44</v>
      </c>
    </row>
    <row r="52" spans="1:18" ht="27.6">
      <c r="A52" s="34">
        <f ca="1">IFERROR(__xludf.DUMMYFUNCTION("""COMPUTED_VALUE"""),34)</f>
        <v>34</v>
      </c>
      <c r="B52" s="112" t="str">
        <f ca="1">IFERROR(__xludf.DUMMYFUNCTION("""COMPUTED_VALUE"""),"GLIGOR")</f>
        <v>GLIGOR</v>
      </c>
      <c r="C52" s="110" t="str">
        <f ca="1">IFERROR(__xludf.DUMMYFUNCTION("""COMPUTED_VALUE"""),"STEM-school Inventor Kyjev (UA)")</f>
        <v>STEM-school Inventor Kyjev (UA)</v>
      </c>
      <c r="D52" s="111" t="str">
        <f ca="1">IFERROR(__xludf.DUMMYFUNCTION("""COMPUTED_VALUE"""),"ZŠ")</f>
        <v>ZŠ</v>
      </c>
      <c r="E52" s="209">
        <f>MIN(F52:J52)</f>
        <v>4.1666666666666664E-2</v>
      </c>
      <c r="F52" s="210" t="str">
        <f>IF(L52=1,K52/$T$2*$S$2,IF(L52=2,K52/$T$2*$S$2*2,IF(L52="-",IF(K52="","",IF(ISTEXT(K52),K52,K52/$T$2)))))</f>
        <v>dnf</v>
      </c>
      <c r="G52" s="211" t="str">
        <f>IF(N52=1,M52/$T$2*$S$2,IF(N52=2,M52/$T$2*$S$2*2,IF(N52="-",IF(M52="","",IF(ISTEXT(M52),M52,M52/$T$2)))))</f>
        <v>dnf</v>
      </c>
      <c r="H52" s="211" t="str">
        <f>IF(P52=1,O52/$T$2*$S$2,IF(P52=2,O52/$T$2*$S$2*2,IF(P52="-",IF(O52="","",IF(ISTEXT(O52),O52,O52/$T$2)))))</f>
        <v/>
      </c>
      <c r="I52" s="211" t="str">
        <f>IF(R52=1,Q52/$T$2*$S$2,IF(R52=2,Q52/$T$2*$S$2*2,IF(R52="-",IF(Q52="","",IF(ISTEXT(Q52),Q52,Q52/$T$2)))))</f>
        <v/>
      </c>
      <c r="J52" s="212">
        <v>4.1666666666666664E-2</v>
      </c>
      <c r="K52" s="213" t="s">
        <v>48</v>
      </c>
      <c r="L52" s="107" t="s">
        <v>44</v>
      </c>
      <c r="M52" s="220" t="s">
        <v>48</v>
      </c>
      <c r="N52" s="107" t="s">
        <v>44</v>
      </c>
      <c r="O52" s="109"/>
      <c r="P52" s="107" t="s">
        <v>44</v>
      </c>
      <c r="Q52" s="109"/>
      <c r="R52" s="107" t="s">
        <v>44</v>
      </c>
    </row>
    <row r="53" spans="1:18" ht="13.8">
      <c r="A53" s="34">
        <f ca="1">IFERROR(__xludf.DUMMYFUNCTION("""COMPUTED_VALUE"""),37)</f>
        <v>37</v>
      </c>
      <c r="B53" s="112" t="str">
        <f ca="1">IFERROR(__xludf.DUMMYFUNCTION("""COMPUTED_VALUE"""),"Gyzáci")</f>
        <v>Gyzáci</v>
      </c>
      <c r="C53" s="110" t="str">
        <f ca="1">IFERROR(__xludf.DUMMYFUNCTION("""COMPUTED_VALUE"""),"Gymnázium Zábřeh")</f>
        <v>Gymnázium Zábřeh</v>
      </c>
      <c r="D53" s="111" t="str">
        <f ca="1">IFERROR(__xludf.DUMMYFUNCTION("""COMPUTED_VALUE"""),"SŠ")</f>
        <v>SŠ</v>
      </c>
      <c r="E53" s="209">
        <f>MIN(F53:J53)</f>
        <v>4.1666666666666664E-2</v>
      </c>
      <c r="F53" s="210" t="str">
        <f>IF(L53=1,K53/$T$2*$S$2,IF(L53=2,K53/$T$2*$S$2*2,IF(L53="-",IF(K53="","",IF(ISTEXT(K53),K53,K53/$T$2)))))</f>
        <v>dnf</v>
      </c>
      <c r="G53" s="211" t="str">
        <f>IF(N53=1,M53/$T$2*$S$2,IF(N53=2,M53/$T$2*$S$2*2,IF(N53="-",IF(M53="","",IF(ISTEXT(M53),M53,M53/$T$2)))))</f>
        <v/>
      </c>
      <c r="H53" s="211" t="str">
        <f>IF(P53=1,O53/$T$2*$S$2,IF(P53=2,O53/$T$2*$S$2*2,IF(P53="-",IF(O53="","",IF(ISTEXT(O53),O53,O53/$T$2)))))</f>
        <v/>
      </c>
      <c r="I53" s="211" t="str">
        <f>IF(R53=1,Q53/$T$2*$S$2,IF(R53=2,Q53/$T$2*$S$2*2,IF(R53="-",IF(Q53="","",IF(ISTEXT(Q53),Q53,Q53/$T$2)))))</f>
        <v/>
      </c>
      <c r="J53" s="212">
        <v>4.1666666666666664E-2</v>
      </c>
      <c r="K53" s="213" t="s">
        <v>48</v>
      </c>
      <c r="L53" s="107" t="s">
        <v>44</v>
      </c>
      <c r="M53" s="221"/>
      <c r="N53" s="107" t="s">
        <v>44</v>
      </c>
      <c r="O53" s="109"/>
      <c r="P53" s="107" t="s">
        <v>44</v>
      </c>
      <c r="Q53" s="109"/>
      <c r="R53" s="107" t="s">
        <v>44</v>
      </c>
    </row>
    <row r="54" spans="1:18" ht="13.8">
      <c r="A54" s="15">
        <f ca="1">IFERROR(__xludf.DUMMYFUNCTION("""COMPUTED_VALUE"""),39)</f>
        <v>39</v>
      </c>
      <c r="B54" s="112" t="str">
        <f ca="1">IFERROR(__xludf.DUMMYFUNCTION("""COMPUTED_VALUE"""),"AZYG")</f>
        <v>AZYG</v>
      </c>
      <c r="C54" s="120" t="str">
        <f ca="1">IFERROR(__xludf.DUMMYFUNCTION("""COMPUTED_VALUE"""),"Gymnázium Zábřeh")</f>
        <v>Gymnázium Zábřeh</v>
      </c>
      <c r="D54" s="111" t="str">
        <f ca="1">IFERROR(__xludf.DUMMYFUNCTION("""COMPUTED_VALUE"""),"ZŠ")</f>
        <v>ZŠ</v>
      </c>
      <c r="E54" s="209">
        <f>MIN(F54:J54)</f>
        <v>4.1666666666666664E-2</v>
      </c>
      <c r="F54" s="210" t="str">
        <f>IF(L54=1,K54/$T$2*$S$2,IF(L54=2,K54/$T$2*$S$2*2,IF(L54="-",IF(K54="","",IF(ISTEXT(K54),K54,K54/$T$2)))))</f>
        <v>dnf</v>
      </c>
      <c r="G54" s="211" t="str">
        <f>IF(N54=1,M54/$T$2*$S$2,IF(N54=2,M54/$T$2*$S$2*2,IF(N54="-",IF(M54="","",IF(ISTEXT(M54),M54,M54/$T$2)))))</f>
        <v>dnf</v>
      </c>
      <c r="H54" s="211" t="str">
        <f>IF(P54=1,O54/$T$2*$S$2,IF(P54=2,O54/$T$2*$S$2*2,IF(P54="-",IF(O54="","",IF(ISTEXT(O54),O54,O54/$T$2)))))</f>
        <v/>
      </c>
      <c r="I54" s="211" t="str">
        <f>IF(R54=1,Q54/$T$2*$S$2,IF(R54=2,Q54/$T$2*$S$2*2,IF(R54="-",IF(Q54="","",IF(ISTEXT(Q54),Q54,Q54/$T$2)))))</f>
        <v/>
      </c>
      <c r="J54" s="212">
        <v>4.1666666666666664E-2</v>
      </c>
      <c r="K54" s="213" t="s">
        <v>48</v>
      </c>
      <c r="L54" s="107" t="s">
        <v>44</v>
      </c>
      <c r="M54" s="220" t="s">
        <v>48</v>
      </c>
      <c r="N54" s="107" t="s">
        <v>44</v>
      </c>
      <c r="O54" s="109"/>
      <c r="P54" s="107" t="s">
        <v>44</v>
      </c>
      <c r="Q54" s="109"/>
      <c r="R54" s="107" t="s">
        <v>44</v>
      </c>
    </row>
    <row r="55" spans="1:18" ht="27.6">
      <c r="A55" s="15">
        <f ca="1">IFERROR(__xludf.DUMMYFUNCTION("""COMPUTED_VALUE"""),44)</f>
        <v>44</v>
      </c>
      <c r="B55" s="112" t="str">
        <f ca="1">IFERROR(__xludf.DUMMYFUNCTION("""COMPUTED_VALUE"""),"Johny boy")</f>
        <v>Johny boy</v>
      </c>
      <c r="C55" s="110" t="str">
        <f ca="1">IFERROR(__xludf.DUMMYFUNCTION("""COMPUTED_VALUE"""),"SPŠ informačných technológií Kysucké Nové Mesto")</f>
        <v>SPŠ informačných technológií Kysucké Nové Mesto</v>
      </c>
      <c r="D55" s="111" t="str">
        <f ca="1">IFERROR(__xludf.DUMMYFUNCTION("""COMPUTED_VALUE"""),"SŠ")</f>
        <v>SŠ</v>
      </c>
      <c r="E55" s="209">
        <f>MIN(F55:J55)</f>
        <v>4.1666666666666664E-2</v>
      </c>
      <c r="F55" s="210" t="str">
        <f>IF(L55=1,K55/$T$2*$S$2,IF(L55=2,K55/$T$2*$S$2*2,IF(L55="-",IF(K55="","",IF(ISTEXT(K55),K55,K55/$T$2)))))</f>
        <v>dnf</v>
      </c>
      <c r="G55" s="211" t="str">
        <f>IF(N55=1,M55/$T$2*$S$2,IF(N55=2,M55/$T$2*$S$2*2,IF(N55="-",IF(M55="","",IF(ISTEXT(M55),M55,M55/$T$2)))))</f>
        <v>dnf</v>
      </c>
      <c r="H55" s="211" t="str">
        <f>IF(P55=1,O55/$T$2*$S$2,IF(P55=2,O55/$T$2*$S$2*2,IF(P55="-",IF(O55="","",IF(ISTEXT(O55),O55,O55/$T$2)))))</f>
        <v/>
      </c>
      <c r="I55" s="211" t="str">
        <f>IF(R55=1,Q55/$T$2*$S$2,IF(R55=2,Q55/$T$2*$S$2*2,IF(R55="-",IF(Q55="","",IF(ISTEXT(Q55),Q55,Q55/$T$2)))))</f>
        <v/>
      </c>
      <c r="J55" s="212">
        <v>4.1666666666666664E-2</v>
      </c>
      <c r="K55" s="213" t="s">
        <v>48</v>
      </c>
      <c r="L55" s="107" t="s">
        <v>44</v>
      </c>
      <c r="M55" s="220" t="s">
        <v>48</v>
      </c>
      <c r="N55" s="107" t="s">
        <v>44</v>
      </c>
      <c r="O55" s="109"/>
      <c r="P55" s="107" t="s">
        <v>44</v>
      </c>
      <c r="Q55" s="109"/>
      <c r="R55" s="107" t="s">
        <v>44</v>
      </c>
    </row>
    <row r="56" spans="1:18" ht="13.8">
      <c r="A56" s="15">
        <f ca="1">IFERROR(__xludf.DUMMYFUNCTION("""COMPUTED_VALUE"""),50)</f>
        <v>50</v>
      </c>
      <c r="B56" s="129" t="str">
        <f ca="1">IFERROR(__xludf.DUMMYFUNCTION("""COMPUTED_VALUE"""),"Lišáci z Vrchlabí")</f>
        <v>Lišáci z Vrchlabí</v>
      </c>
      <c r="C56" s="120" t="str">
        <f ca="1">IFERROR(__xludf.DUMMYFUNCTION("""COMPUTED_VALUE"""),"ZŠ Školní Vrchlabí")</f>
        <v>ZŠ Školní Vrchlabí</v>
      </c>
      <c r="D56" s="128" t="str">
        <f ca="1">IFERROR(__xludf.DUMMYFUNCTION("""COMPUTED_VALUE"""),"ZŠ")</f>
        <v>ZŠ</v>
      </c>
      <c r="E56" s="209">
        <f>MIN(F56:J56)</f>
        <v>4.1666666666666664E-2</v>
      </c>
      <c r="F56" s="210" t="str">
        <f>IF(L56=1,K56/$T$2*$S$2,IF(L56=2,K56/$T$2*$S$2*2,IF(L56="-",IF(K56="","",IF(ISTEXT(K56),K56,K56/$T$2)))))</f>
        <v>dnf</v>
      </c>
      <c r="G56" s="211" t="str">
        <f>IF(N56=1,M56/$T$2*$S$2,IF(N56=2,M56/$T$2*$S$2*2,IF(N56="-",IF(M56="","",IF(ISTEXT(M56),M56,M56/$T$2)))))</f>
        <v>dnf</v>
      </c>
      <c r="H56" s="211" t="str">
        <f>IF(P56=1,O56/$T$2*$S$2,IF(P56=2,O56/$T$2*$S$2*2,IF(P56="-",IF(O56="","",IF(ISTEXT(O56),O56,O56/$T$2)))))</f>
        <v/>
      </c>
      <c r="I56" s="211" t="str">
        <f>IF(R56=1,Q56/$T$2*$S$2,IF(R56=2,Q56/$T$2*$S$2*2,IF(R56="-",IF(Q56="","",IF(ISTEXT(Q56),Q56,Q56/$T$2)))))</f>
        <v/>
      </c>
      <c r="J56" s="212">
        <v>4.1666666666666664E-2</v>
      </c>
      <c r="K56" s="213" t="s">
        <v>48</v>
      </c>
      <c r="L56" s="107" t="s">
        <v>44</v>
      </c>
      <c r="M56" s="220" t="s">
        <v>48</v>
      </c>
      <c r="N56" s="107" t="s">
        <v>44</v>
      </c>
      <c r="O56" s="109"/>
      <c r="P56" s="107" t="s">
        <v>44</v>
      </c>
      <c r="Q56" s="109"/>
      <c r="R56" s="107" t="s">
        <v>44</v>
      </c>
    </row>
    <row r="57" spans="1:18" ht="27.6">
      <c r="A57" s="34">
        <f ca="1">IFERROR(__xludf.DUMMYFUNCTION("""COMPUTED_VALUE"""),56)</f>
        <v>56</v>
      </c>
      <c r="B57" s="112" t="str">
        <f ca="1">IFERROR(__xludf.DUMMYFUNCTION("""COMPUTED_VALUE"""),"One man show")</f>
        <v>One man show</v>
      </c>
      <c r="C57" s="110" t="str">
        <f ca="1">IFERROR(__xludf.DUMMYFUNCTION("""COMPUTED_VALUE"""),"SŠ průmyslová a umělecká Hodonín")</f>
        <v>SŠ průmyslová a umělecká Hodonín</v>
      </c>
      <c r="D57" s="128" t="str">
        <f ca="1">IFERROR(__xludf.DUMMYFUNCTION("""COMPUTED_VALUE"""),"SŠ")</f>
        <v>SŠ</v>
      </c>
      <c r="E57" s="209">
        <f>MIN(F57:J57)</f>
        <v>4.1666666666666664E-2</v>
      </c>
      <c r="F57" s="210" t="str">
        <f>IF(L57=1,K57/$T$2*$S$2,IF(L57=2,K57/$T$2*$S$2*2,IF(L57="-",IF(K57="","",IF(ISTEXT(K57),K57,K57/$T$2)))))</f>
        <v/>
      </c>
      <c r="G57" s="211" t="str">
        <f>IF(N57=1,M57/$T$2*$S$2,IF(N57=2,M57/$T$2*$S$2*2,IF(N57="-",IF(M57="","",IF(ISTEXT(M57),M57,M57/$T$2)))))</f>
        <v>dnf</v>
      </c>
      <c r="H57" s="211" t="str">
        <f>IF(P57=1,O57/$T$2*$S$2,IF(P57=2,O57/$T$2*$S$2*2,IF(P57="-",IF(O57="","",IF(ISTEXT(O57),O57,O57/$T$2)))))</f>
        <v/>
      </c>
      <c r="I57" s="211" t="str">
        <f>IF(R57=1,Q57/$T$2*$S$2,IF(R57=2,Q57/$T$2*$S$2*2,IF(R57="-",IF(Q57="","",IF(ISTEXT(Q57),Q57,Q57/$T$2)))))</f>
        <v/>
      </c>
      <c r="J57" s="212">
        <v>4.1666666666666664E-2</v>
      </c>
      <c r="K57" s="214"/>
      <c r="L57" s="107" t="s">
        <v>44</v>
      </c>
      <c r="M57" s="220" t="s">
        <v>48</v>
      </c>
      <c r="N57" s="107" t="s">
        <v>44</v>
      </c>
      <c r="O57" s="109"/>
      <c r="P57" s="107" t="s">
        <v>44</v>
      </c>
      <c r="Q57" s="109"/>
      <c r="R57" s="107" t="s">
        <v>44</v>
      </c>
    </row>
    <row r="58" spans="1:18" ht="13.8">
      <c r="A58" s="34">
        <f ca="1">IFERROR(__xludf.DUMMYFUNCTION("""COMPUTED_VALUE"""),58)</f>
        <v>58</v>
      </c>
      <c r="B58" s="112" t="str">
        <f ca="1">IFERROR(__xludf.DUMMYFUNCTION("""COMPUTED_VALUE"""),"Krystofnutt")</f>
        <v>Krystofnutt</v>
      </c>
      <c r="C58" s="110" t="str">
        <f ca="1">IFERROR(__xludf.DUMMYFUNCTION("""COMPUTED_VALUE"""),"Purkyňovo gymnázium Strážnice")</f>
        <v>Purkyňovo gymnázium Strážnice</v>
      </c>
      <c r="D58" s="128" t="str">
        <f ca="1">IFERROR(__xludf.DUMMYFUNCTION("""COMPUTED_VALUE"""),"ZŠ")</f>
        <v>ZŠ</v>
      </c>
      <c r="E58" s="209">
        <f>MIN(F58:J58)</f>
        <v>4.1666666666666664E-2</v>
      </c>
      <c r="F58" s="210" t="str">
        <f>IF(L58=1,K58/$T$2*$S$2,IF(L58=2,K58/$T$2*$S$2*2,IF(L58="-",IF(K58="","",IF(ISTEXT(K58),K58,K58/$T$2)))))</f>
        <v>dnf</v>
      </c>
      <c r="G58" s="211" t="str">
        <f>IF(N58=1,M58/$T$2*$S$2,IF(N58=2,M58/$T$2*$S$2*2,IF(N58="-",IF(M58="","",IF(ISTEXT(M58),M58,M58/$T$2)))))</f>
        <v>dnf</v>
      </c>
      <c r="H58" s="211" t="str">
        <f>IF(P58=1,O58/$T$2*$S$2,IF(P58=2,O58/$T$2*$S$2*2,IF(P58="-",IF(O58="","",IF(ISTEXT(O58),O58,O58/$T$2)))))</f>
        <v/>
      </c>
      <c r="I58" s="211" t="str">
        <f>IF(R58=1,Q58/$T$2*$S$2,IF(R58=2,Q58/$T$2*$S$2*2,IF(R58="-",IF(Q58="","",IF(ISTEXT(Q58),Q58,Q58/$T$2)))))</f>
        <v/>
      </c>
      <c r="J58" s="212">
        <v>4.1666666666666664E-2</v>
      </c>
      <c r="K58" s="213" t="s">
        <v>48</v>
      </c>
      <c r="L58" s="107" t="s">
        <v>44</v>
      </c>
      <c r="M58" s="220" t="s">
        <v>48</v>
      </c>
      <c r="N58" s="107" t="s">
        <v>44</v>
      </c>
      <c r="O58" s="109"/>
      <c r="P58" s="107" t="s">
        <v>44</v>
      </c>
      <c r="Q58" s="109"/>
      <c r="R58" s="107" t="s">
        <v>44</v>
      </c>
    </row>
    <row r="59" spans="1:18" ht="13.8">
      <c r="A59" s="15">
        <f ca="1">IFERROR(__xludf.DUMMYFUNCTION("""COMPUTED_VALUE"""),73)</f>
        <v>73</v>
      </c>
      <c r="B59" s="112" t="str">
        <f ca="1">IFERROR(__xludf.DUMMYFUNCTION("""COMPUTED_VALUE"""),"Tým1")</f>
        <v>Tým1</v>
      </c>
      <c r="C59" s="120" t="str">
        <f ca="1">IFERROR(__xludf.DUMMYFUNCTION("""COMPUTED_VALUE"""),"Jiráskovo gymnázium Náchod")</f>
        <v>Jiráskovo gymnázium Náchod</v>
      </c>
      <c r="D59" s="111" t="str">
        <f ca="1">IFERROR(__xludf.DUMMYFUNCTION("""COMPUTED_VALUE"""),"ZŠ")</f>
        <v>ZŠ</v>
      </c>
      <c r="E59" s="209">
        <f>MIN(F59:J59)</f>
        <v>4.1666666666666664E-2</v>
      </c>
      <c r="F59" s="210" t="str">
        <f>IF(L59=1,K59/$T$2*$S$2,IF(L59=2,K59/$T$2*$S$2*2,IF(L59="-",IF(K59="","",IF(ISTEXT(K59),K59,K59/$T$2)))))</f>
        <v>x</v>
      </c>
      <c r="G59" s="211" t="str">
        <f>IF(N59=1,M59/$T$2*$S$2,IF(N59=2,M59/$T$2*$S$2*2,IF(N59="-",IF(M59="","",IF(ISTEXT(M59),M59,M59/$T$2)))))</f>
        <v>x</v>
      </c>
      <c r="H59" s="211" t="str">
        <f>IF(P59=1,O59/$T$2*$S$2,IF(P59=2,O59/$T$2*$S$2*2,IF(P59="-",IF(O59="","",IF(ISTEXT(O59),O59,O59/$T$2)))))</f>
        <v/>
      </c>
      <c r="I59" s="211" t="str">
        <f>IF(R59=1,Q59/$T$2*$S$2,IF(R59=2,Q59/$T$2*$S$2*2,IF(R59="-",IF(Q59="","",IF(ISTEXT(Q59),Q59,Q59/$T$2)))))</f>
        <v/>
      </c>
      <c r="J59" s="212">
        <v>4.1666666666666664E-2</v>
      </c>
      <c r="K59" s="213" t="s">
        <v>192</v>
      </c>
      <c r="L59" s="107" t="s">
        <v>44</v>
      </c>
      <c r="M59" s="220" t="s">
        <v>192</v>
      </c>
      <c r="N59" s="107" t="s">
        <v>44</v>
      </c>
      <c r="O59" s="109"/>
      <c r="P59" s="107" t="s">
        <v>44</v>
      </c>
      <c r="Q59" s="109"/>
      <c r="R59" s="107" t="s">
        <v>44</v>
      </c>
    </row>
    <row r="60" spans="1:18" ht="13.8">
      <c r="A60" s="34">
        <f ca="1">IFERROR(__xludf.DUMMYFUNCTION("""COMPUTED_VALUE"""),74)</f>
        <v>74</v>
      </c>
      <c r="B60" s="112" t="str">
        <f ca="1">IFERROR(__xludf.DUMMYFUNCTION("""COMPUTED_VALUE"""),"Tým 2")</f>
        <v>Tým 2</v>
      </c>
      <c r="C60" s="110" t="str">
        <f ca="1">IFERROR(__xludf.DUMMYFUNCTION("""COMPUTED_VALUE"""),"Jiráskovo gymnázium Náchod")</f>
        <v>Jiráskovo gymnázium Náchod</v>
      </c>
      <c r="D60" s="111" t="str">
        <f ca="1">IFERROR(__xludf.DUMMYFUNCTION("""COMPUTED_VALUE"""),"ZŠ")</f>
        <v>ZŠ</v>
      </c>
      <c r="E60" s="209">
        <f>MIN(F60:J60)</f>
        <v>4.1666666666666664E-2</v>
      </c>
      <c r="F60" s="210" t="str">
        <f>IF(L60=1,K60/$T$2*$S$2,IF(L60=2,K60/$T$2*$S$2*2,IF(L60="-",IF(K60="","",IF(ISTEXT(K60),K60,K60/$T$2)))))</f>
        <v>dnf</v>
      </c>
      <c r="G60" s="211" t="str">
        <f>IF(N60=1,M60/$T$2*$S$2,IF(N60=2,M60/$T$2*$S$2*2,IF(N60="-",IF(M60="","",IF(ISTEXT(M60),M60,M60/$T$2)))))</f>
        <v>dnf</v>
      </c>
      <c r="H60" s="211" t="str">
        <f>IF(P60=1,O60/$T$2*$S$2,IF(P60=2,O60/$T$2*$S$2*2,IF(P60="-",IF(O60="","",IF(ISTEXT(O60),O60,O60/$T$2)))))</f>
        <v/>
      </c>
      <c r="I60" s="211" t="str">
        <f>IF(R60=1,Q60/$T$2*$S$2,IF(R60=2,Q60/$T$2*$S$2*2,IF(R60="-",IF(Q60="","",IF(ISTEXT(Q60),Q60,Q60/$T$2)))))</f>
        <v/>
      </c>
      <c r="J60" s="212">
        <v>4.1666666666666664E-2</v>
      </c>
      <c r="K60" s="213" t="s">
        <v>48</v>
      </c>
      <c r="L60" s="107" t="s">
        <v>44</v>
      </c>
      <c r="M60" s="220" t="s">
        <v>48</v>
      </c>
      <c r="N60" s="107" t="s">
        <v>44</v>
      </c>
      <c r="O60" s="109"/>
      <c r="P60" s="107" t="s">
        <v>44</v>
      </c>
      <c r="Q60" s="109"/>
      <c r="R60" s="107" t="s">
        <v>44</v>
      </c>
    </row>
    <row r="61" spans="1:18" ht="13.8">
      <c r="A61" s="15">
        <f ca="1">IFERROR(__xludf.DUMMYFUNCTION("""COMPUTED_VALUE"""),75)</f>
        <v>75</v>
      </c>
      <c r="B61" s="129" t="str">
        <f ca="1">IFERROR(__xludf.DUMMYFUNCTION("""COMPUTED_VALUE"""),"Tým 3")</f>
        <v>Tým 3</v>
      </c>
      <c r="C61" s="120" t="str">
        <f ca="1">IFERROR(__xludf.DUMMYFUNCTION("""COMPUTED_VALUE"""),"Jiráskovo gymnázium Náchod")</f>
        <v>Jiráskovo gymnázium Náchod</v>
      </c>
      <c r="D61" s="128" t="str">
        <f ca="1">IFERROR(__xludf.DUMMYFUNCTION("""COMPUTED_VALUE"""),"ZŠ")</f>
        <v>ZŠ</v>
      </c>
      <c r="E61" s="209">
        <f>MIN(F61:J61)</f>
        <v>4.1666666666666664E-2</v>
      </c>
      <c r="F61" s="210" t="str">
        <f>IF(L61=1,K61/$T$2*$S$2,IF(L61=2,K61/$T$2*$S$2*2,IF(L61="-",IF(K61="","",IF(ISTEXT(K61),K61,K61/$T$2)))))</f>
        <v>dnf</v>
      </c>
      <c r="G61" s="211" t="str">
        <f>IF(N61=1,M61/$T$2*$S$2,IF(N61=2,M61/$T$2*$S$2*2,IF(N61="-",IF(M61="","",IF(ISTEXT(M61),M61,M61/$T$2)))))</f>
        <v>dnf</v>
      </c>
      <c r="H61" s="211" t="str">
        <f>IF(P61=1,O61/$T$2*$S$2,IF(P61=2,O61/$T$2*$S$2*2,IF(P61="-",IF(O61="","",IF(ISTEXT(O61),O61,O61/$T$2)))))</f>
        <v/>
      </c>
      <c r="I61" s="211" t="str">
        <f>IF(R61=1,Q61/$T$2*$S$2,IF(R61=2,Q61/$T$2*$S$2*2,IF(R61="-",IF(Q61="","",IF(ISTEXT(Q61),Q61,Q61/$T$2)))))</f>
        <v/>
      </c>
      <c r="J61" s="212">
        <v>4.1666666666666664E-2</v>
      </c>
      <c r="K61" s="213" t="s">
        <v>48</v>
      </c>
      <c r="L61" s="107" t="s">
        <v>44</v>
      </c>
      <c r="M61" s="220" t="s">
        <v>48</v>
      </c>
      <c r="N61" s="107" t="s">
        <v>44</v>
      </c>
      <c r="O61" s="109"/>
      <c r="P61" s="107" t="s">
        <v>44</v>
      </c>
      <c r="Q61" s="109"/>
      <c r="R61" s="107" t="s">
        <v>44</v>
      </c>
    </row>
    <row r="62" spans="1:18" ht="13.8">
      <c r="A62" s="34">
        <f ca="1">IFERROR(__xludf.DUMMYFUNCTION("""COMPUTED_VALUE"""),81)</f>
        <v>81</v>
      </c>
      <c r="B62" s="112" t="str">
        <f ca="1">IFERROR(__xludf.DUMMYFUNCTION("""COMPUTED_VALUE"""),"Matěšpond")</f>
        <v>Matěšpond</v>
      </c>
      <c r="C62" s="110" t="str">
        <f ca="1">IFERROR(__xludf.DUMMYFUNCTION("""COMPUTED_VALUE"""),"Gymnázium Zlín - Lesní čtvrť")</f>
        <v>Gymnázium Zlín - Lesní čtvrť</v>
      </c>
      <c r="D62" s="128" t="str">
        <f ca="1">IFERROR(__xludf.DUMMYFUNCTION("""COMPUTED_VALUE"""),"ZŠ")</f>
        <v>ZŠ</v>
      </c>
      <c r="E62" s="209">
        <f>MIN(F62:J62)</f>
        <v>4.1666666666666664E-2</v>
      </c>
      <c r="F62" s="210" t="str">
        <f>IF(L62=1,K62/$T$2*$S$2,IF(L62=2,K62/$T$2*$S$2*2,IF(L62="-",IF(K62="","",IF(ISTEXT(K62),K62,K62/$T$2)))))</f>
        <v>dnf</v>
      </c>
      <c r="G62" s="211" t="str">
        <f>IF(N62=1,M62/$T$2*$S$2,IF(N62=2,M62/$T$2*$S$2*2,IF(N62="-",IF(M62="","",IF(ISTEXT(M62),M62,M62/$T$2)))))</f>
        <v>dnf</v>
      </c>
      <c r="H62" s="211" t="str">
        <f>IF(P62=1,O62/$T$2*$S$2,IF(P62=2,O62/$T$2*$S$2*2,IF(P62="-",IF(O62="","",IF(ISTEXT(O62),O62,O62/$T$2)))))</f>
        <v/>
      </c>
      <c r="I62" s="211" t="str">
        <f>IF(R62=1,Q62/$T$2*$S$2,IF(R62=2,Q62/$T$2*$S$2*2,IF(R62="-",IF(Q62="","",IF(ISTEXT(Q62),Q62,Q62/$T$2)))))</f>
        <v/>
      </c>
      <c r="J62" s="212">
        <v>4.1666666666666664E-2</v>
      </c>
      <c r="K62" s="213" t="s">
        <v>48</v>
      </c>
      <c r="L62" s="107" t="s">
        <v>44</v>
      </c>
      <c r="M62" s="220" t="s">
        <v>48</v>
      </c>
      <c r="N62" s="107" t="s">
        <v>44</v>
      </c>
      <c r="O62" s="109"/>
      <c r="P62" s="107" t="s">
        <v>44</v>
      </c>
      <c r="Q62" s="109"/>
      <c r="R62" s="107" t="s">
        <v>44</v>
      </c>
    </row>
    <row r="63" spans="1:18" ht="13.8">
      <c r="A63" s="34">
        <f ca="1">IFERROR(__xludf.DUMMYFUNCTION("""COMPUTED_VALUE"""),82)</f>
        <v>82</v>
      </c>
      <c r="B63" s="112" t="str">
        <f ca="1">IFERROR(__xludf.DUMMYFUNCTION("""COMPUTED_VALUE"""),"Gymzláci")</f>
        <v>Gymzláci</v>
      </c>
      <c r="C63" s="110" t="str">
        <f ca="1">IFERROR(__xludf.DUMMYFUNCTION("""COMPUTED_VALUE"""),"Gymnázium Zlín - Lesní čtvrť")</f>
        <v>Gymnázium Zlín - Lesní čtvrť</v>
      </c>
      <c r="D63" s="111" t="str">
        <f ca="1">IFERROR(__xludf.DUMMYFUNCTION("""COMPUTED_VALUE"""),"ZŠ")</f>
        <v>ZŠ</v>
      </c>
      <c r="E63" s="209">
        <f>MIN(F63:J63)</f>
        <v>4.1666666666666664E-2</v>
      </c>
      <c r="F63" s="210" t="str">
        <f>IF(L63=1,K63/$T$2*$S$2,IF(L63=2,K63/$T$2*$S$2*2,IF(L63="-",IF(K63="","",IF(ISTEXT(K63),K63,K63/$T$2)))))</f>
        <v/>
      </c>
      <c r="G63" s="211" t="str">
        <f>IF(N63=1,M63/$T$2*$S$2,IF(N63=2,M63/$T$2*$S$2*2,IF(N63="-",IF(M63="","",IF(ISTEXT(M63),M63,M63/$T$2)))))</f>
        <v/>
      </c>
      <c r="H63" s="211" t="str">
        <f>IF(P63=1,O63/$T$2*$S$2,IF(P63=2,O63/$T$2*$S$2*2,IF(P63="-",IF(O63="","",IF(ISTEXT(O63),O63,O63/$T$2)))))</f>
        <v/>
      </c>
      <c r="I63" s="211" t="str">
        <f>IF(R63=1,Q63/$T$2*$S$2,IF(R63=2,Q63/$T$2*$S$2*2,IF(R63="-",IF(Q63="","",IF(ISTEXT(Q63),Q63,Q63/$T$2)))))</f>
        <v/>
      </c>
      <c r="J63" s="212">
        <v>4.1666666666666664E-2</v>
      </c>
      <c r="K63" s="214"/>
      <c r="L63" s="107" t="s">
        <v>44</v>
      </c>
      <c r="M63" s="221"/>
      <c r="N63" s="107" t="s">
        <v>44</v>
      </c>
      <c r="O63" s="109"/>
      <c r="P63" s="107" t="s">
        <v>44</v>
      </c>
      <c r="Q63" s="109"/>
      <c r="R63" s="107" t="s">
        <v>44</v>
      </c>
    </row>
    <row r="64" spans="1:18" ht="13.8">
      <c r="A64" s="34">
        <f ca="1">IFERROR(__xludf.DUMMYFUNCTION("""COMPUTED_VALUE"""),83)</f>
        <v>83</v>
      </c>
      <c r="B64" s="112" t="str">
        <f ca="1">IFERROR(__xludf.DUMMYFUNCTION("""COMPUTED_VALUE"""),"Kriegsmarine")</f>
        <v>Kriegsmarine</v>
      </c>
      <c r="C64" s="110" t="str">
        <f ca="1">IFERROR(__xludf.DUMMYFUNCTION("""COMPUTED_VALUE"""),"Gymnázium Zlín - Lesní čtvrť")</f>
        <v>Gymnázium Zlín - Lesní čtvrť</v>
      </c>
      <c r="D64" s="128" t="str">
        <f ca="1">IFERROR(__xludf.DUMMYFUNCTION("""COMPUTED_VALUE"""),"SŠ")</f>
        <v>SŠ</v>
      </c>
      <c r="E64" s="209">
        <f>MIN(F64:J64)</f>
        <v>4.1666666666666664E-2</v>
      </c>
      <c r="F64" s="210" t="str">
        <f>IF(L64=1,K64/$T$2*$S$2,IF(L64=2,K64/$T$2*$S$2*2,IF(L64="-",IF(K64="","",IF(ISTEXT(K64),K64,K64/$T$2)))))</f>
        <v>dnf</v>
      </c>
      <c r="G64" s="211" t="str">
        <f>IF(N64=1,M64/$T$2*$S$2,IF(N64=2,M64/$T$2*$S$2*2,IF(N64="-",IF(M64="","",IF(ISTEXT(M64),M64,M64/$T$2)))))</f>
        <v/>
      </c>
      <c r="H64" s="211" t="str">
        <f>IF(P64=1,O64/$T$2*$S$2,IF(P64=2,O64/$T$2*$S$2*2,IF(P64="-",IF(O64="","",IF(ISTEXT(O64),O64,O64/$T$2)))))</f>
        <v/>
      </c>
      <c r="I64" s="211" t="str">
        <f>IF(R64=1,Q64/$T$2*$S$2,IF(R64=2,Q64/$T$2*$S$2*2,IF(R64="-",IF(Q64="","",IF(ISTEXT(Q64),Q64,Q64/$T$2)))))</f>
        <v/>
      </c>
      <c r="J64" s="212">
        <v>4.1666666666666664E-2</v>
      </c>
      <c r="K64" s="213" t="s">
        <v>48</v>
      </c>
      <c r="L64" s="107" t="s">
        <v>44</v>
      </c>
      <c r="M64" s="221"/>
      <c r="N64" s="107" t="s">
        <v>44</v>
      </c>
      <c r="O64" s="109"/>
      <c r="P64" s="107" t="s">
        <v>44</v>
      </c>
      <c r="Q64" s="109"/>
      <c r="R64" s="107" t="s">
        <v>44</v>
      </c>
    </row>
    <row r="65" spans="1:18" ht="13.8">
      <c r="A65" s="34">
        <f ca="1">IFERROR(__xludf.DUMMYFUNCTION("""COMPUTED_VALUE"""),85)</f>
        <v>85</v>
      </c>
      <c r="B65" s="112" t="str">
        <f ca="1">IFERROR(__xludf.DUMMYFUNCTION("""COMPUTED_VALUE"""),"Discindo Universio")</f>
        <v>Discindo Universio</v>
      </c>
      <c r="C65" s="110" t="str">
        <f ca="1">IFERROR(__xludf.DUMMYFUNCTION("""COMPUTED_VALUE"""),"Gymniázium Zlín - Lesní čtvrť")</f>
        <v>Gymniázium Zlín - Lesní čtvrť</v>
      </c>
      <c r="D65" s="128" t="str">
        <f ca="1">IFERROR(__xludf.DUMMYFUNCTION("""COMPUTED_VALUE"""),"ZŠ")</f>
        <v>ZŠ</v>
      </c>
      <c r="E65" s="209">
        <f>MIN(F65:J65)</f>
        <v>4.1666666666666664E-2</v>
      </c>
      <c r="F65" s="210" t="str">
        <f>IF(L65=1,K65/$T$2*$S$2,IF(L65=2,K65/$T$2*$S$2*2,IF(L65="-",IF(K65="","",IF(ISTEXT(K65),K65,K65/$T$2)))))</f>
        <v>dnf</v>
      </c>
      <c r="G65" s="211" t="str">
        <f>IF(N65=1,M65/$T$2*$S$2,IF(N65=2,M65/$T$2*$S$2*2,IF(N65="-",IF(M65="","",IF(ISTEXT(M65),M65,M65/$T$2)))))</f>
        <v>dnf</v>
      </c>
      <c r="H65" s="211" t="str">
        <f>IF(P65=1,O65/$T$2*$S$2,IF(P65=2,O65/$T$2*$S$2*2,IF(P65="-",IF(O65="","",IF(ISTEXT(O65),O65,O65/$T$2)))))</f>
        <v/>
      </c>
      <c r="I65" s="211" t="str">
        <f>IF(R65=1,Q65/$T$2*$S$2,IF(R65=2,Q65/$T$2*$S$2*2,IF(R65="-",IF(Q65="","",IF(ISTEXT(Q65),Q65,Q65/$T$2)))))</f>
        <v/>
      </c>
      <c r="J65" s="212">
        <v>4.1666666666666664E-2</v>
      </c>
      <c r="K65" s="213" t="s">
        <v>48</v>
      </c>
      <c r="L65" s="107" t="s">
        <v>44</v>
      </c>
      <c r="M65" s="220" t="s">
        <v>48</v>
      </c>
      <c r="N65" s="107" t="s">
        <v>44</v>
      </c>
      <c r="O65" s="109"/>
      <c r="P65" s="107" t="s">
        <v>44</v>
      </c>
      <c r="Q65" s="109"/>
      <c r="R65" s="107" t="s">
        <v>44</v>
      </c>
    </row>
    <row r="66" spans="1:18" ht="13.8">
      <c r="A66" s="34">
        <f ca="1">IFERROR(__xludf.DUMMYFUNCTION("""COMPUTED_VALUE"""),89)</f>
        <v>89</v>
      </c>
      <c r="B66" s="112" t="str">
        <f ca="1">IFERROR(__xludf.DUMMYFUNCTION("""COMPUTED_VALUE"""),"Hlucháci")</f>
        <v>Hlucháci</v>
      </c>
      <c r="C66" s="110" t="str">
        <f ca="1">IFERROR(__xludf.DUMMYFUNCTION("""COMPUTED_VALUE"""),"ZŠ Šumperk, 8. května")</f>
        <v>ZŠ Šumperk, 8. května</v>
      </c>
      <c r="D66" s="128" t="str">
        <f ca="1">IFERROR(__xludf.DUMMYFUNCTION("""COMPUTED_VALUE"""),"ZŠ")</f>
        <v>ZŠ</v>
      </c>
      <c r="E66" s="209">
        <f>MIN(F66:J66)</f>
        <v>4.1666666666666664E-2</v>
      </c>
      <c r="F66" s="210" t="str">
        <f>IF(L66=1,K66/$T$2*$S$2,IF(L66=2,K66/$T$2*$S$2*2,IF(L66="-",IF(K66="","",IF(ISTEXT(K66),K66,K66/$T$2)))))</f>
        <v>dnf</v>
      </c>
      <c r="G66" s="211" t="str">
        <f>IF(N66=1,M66/$T$2*$S$2,IF(N66=2,M66/$T$2*$S$2*2,IF(N66="-",IF(M66="","",IF(ISTEXT(M66),M66,M66/$T$2)))))</f>
        <v>dnf</v>
      </c>
      <c r="H66" s="211" t="str">
        <f>IF(P66=1,O66/$T$2*$S$2,IF(P66=2,O66/$T$2*$S$2*2,IF(P66="-",IF(O66="","",IF(ISTEXT(O66),O66,O66/$T$2)))))</f>
        <v/>
      </c>
      <c r="I66" s="211" t="str">
        <f>IF(R66=1,Q66/$T$2*$S$2,IF(R66=2,Q66/$T$2*$S$2*2,IF(R66="-",IF(Q66="","",IF(ISTEXT(Q66),Q66,Q66/$T$2)))))</f>
        <v/>
      </c>
      <c r="J66" s="212">
        <v>4.1666666666666664E-2</v>
      </c>
      <c r="K66" s="213" t="s">
        <v>48</v>
      </c>
      <c r="L66" s="107" t="s">
        <v>44</v>
      </c>
      <c r="M66" s="220" t="s">
        <v>48</v>
      </c>
      <c r="N66" s="107" t="s">
        <v>44</v>
      </c>
      <c r="O66" s="109"/>
      <c r="P66" s="107" t="s">
        <v>44</v>
      </c>
      <c r="Q66" s="109"/>
      <c r="R66" s="107" t="s">
        <v>44</v>
      </c>
    </row>
    <row r="67" spans="1:18" ht="13.8">
      <c r="A67" s="34">
        <f ca="1">IFERROR(__xludf.DUMMYFUNCTION("""COMPUTED_VALUE"""),98)</f>
        <v>98</v>
      </c>
      <c r="B67" s="112" t="str">
        <f ca="1">IFERROR(__xludf.DUMMYFUNCTION("""COMPUTED_VALUE"""),"PORG 2")</f>
        <v>PORG 2</v>
      </c>
      <c r="C67" s="110" t="str">
        <f ca="1">IFERROR(__xludf.DUMMYFUNCTION("""COMPUTED_VALUE"""),"Gymnázium PORG Praha")</f>
        <v>Gymnázium PORG Praha</v>
      </c>
      <c r="D67" s="128" t="str">
        <f ca="1">IFERROR(__xludf.DUMMYFUNCTION("""COMPUTED_VALUE"""),"ZŠ")</f>
        <v>ZŠ</v>
      </c>
      <c r="E67" s="209">
        <f>MIN(F67:J67)</f>
        <v>4.1666666666666664E-2</v>
      </c>
      <c r="F67" s="210" t="str">
        <f>IF(L67=1,K67/$T$2*$S$2,IF(L67=2,K67/$T$2*$S$2*2,IF(L67="-",IF(K67="","",IF(ISTEXT(K67),K67,K67/$T$2)))))</f>
        <v>dnf</v>
      </c>
      <c r="G67" s="211" t="str">
        <f>IF(N67=1,M67/$T$2*$S$2,IF(N67=2,M67/$T$2*$S$2*2,IF(N67="-",IF(M67="","",IF(ISTEXT(M67),M67,M67/$T$2)))))</f>
        <v>dnf</v>
      </c>
      <c r="H67" s="211" t="str">
        <f>IF(P67=1,O67/$T$2*$S$2,IF(P67=2,O67/$T$2*$S$2*2,IF(P67="-",IF(O67="","",IF(ISTEXT(O67),O67,O67/$T$2)))))</f>
        <v/>
      </c>
      <c r="I67" s="211" t="str">
        <f>IF(R67=1,Q67/$T$2*$S$2,IF(R67=2,Q67/$T$2*$S$2*2,IF(R67="-",IF(Q67="","",IF(ISTEXT(Q67),Q67,Q67/$T$2)))))</f>
        <v/>
      </c>
      <c r="J67" s="212">
        <v>4.1666666666666664E-2</v>
      </c>
      <c r="K67" s="213" t="s">
        <v>48</v>
      </c>
      <c r="L67" s="107" t="s">
        <v>44</v>
      </c>
      <c r="M67" s="220" t="s">
        <v>48</v>
      </c>
      <c r="N67" s="107" t="s">
        <v>44</v>
      </c>
      <c r="O67" s="109"/>
      <c r="P67" s="107" t="s">
        <v>44</v>
      </c>
      <c r="Q67" s="109"/>
      <c r="R67" s="107" t="s">
        <v>44</v>
      </c>
    </row>
    <row r="68" spans="1:18" ht="13.8">
      <c r="A68" s="34">
        <f ca="1">IFERROR(__xludf.DUMMYFUNCTION("""COMPUTED_VALUE"""),106)</f>
        <v>106</v>
      </c>
      <c r="B68" s="112" t="str">
        <f ca="1">IFERROR(__xludf.DUMMYFUNCTION("""COMPUTED_VALUE"""),"projekt Libjena")</f>
        <v>projekt Libjena</v>
      </c>
      <c r="C68" s="110" t="str">
        <f ca="1">IFERROR(__xludf.DUMMYFUNCTION("""COMPUTED_VALUE"""),"SVČ Opava")</f>
        <v>SVČ Opava</v>
      </c>
      <c r="D68" s="128" t="str">
        <f ca="1">IFERROR(__xludf.DUMMYFUNCTION("""COMPUTED_VALUE"""),"ZŠ")</f>
        <v>ZŠ</v>
      </c>
      <c r="E68" s="209">
        <f>MIN(F68:J68)</f>
        <v>4.1666666666666664E-2</v>
      </c>
      <c r="F68" s="210" t="str">
        <f>IF(L68=1,K68/$T$2*$S$2,IF(L68=2,K68/$T$2*$S$2*2,IF(L68="-",IF(K68="","",IF(ISTEXT(K68),K68,K68/$T$2)))))</f>
        <v>konec</v>
      </c>
      <c r="G68" s="211" t="str">
        <f>IF(N68=1,M68/$T$2*$S$2,IF(N68=2,M68/$T$2*$S$2*2,IF(N68="-",IF(M68="","",IF(ISTEXT(M68),M68,M68/$T$2)))))</f>
        <v>konec</v>
      </c>
      <c r="H68" s="211" t="str">
        <f>IF(P68=1,O68/$T$2*$S$2,IF(P68=2,O68/$T$2*$S$2*2,IF(P68="-",IF(O68="","",IF(ISTEXT(O68),O68,O68/$T$2)))))</f>
        <v/>
      </c>
      <c r="I68" s="211" t="str">
        <f>IF(R68=1,Q68/$T$2*$S$2,IF(R68=2,Q68/$T$2*$S$2*2,IF(R68="-",IF(Q68="","",IF(ISTEXT(Q68),Q68,Q68/$T$2)))))</f>
        <v/>
      </c>
      <c r="J68" s="212">
        <v>4.1666666666666664E-2</v>
      </c>
      <c r="K68" s="213" t="s">
        <v>206</v>
      </c>
      <c r="L68" s="107" t="s">
        <v>44</v>
      </c>
      <c r="M68" s="220" t="s">
        <v>206</v>
      </c>
      <c r="N68" s="107" t="s">
        <v>44</v>
      </c>
      <c r="O68" s="109"/>
      <c r="P68" s="107" t="s">
        <v>44</v>
      </c>
      <c r="Q68" s="109"/>
      <c r="R68" s="107" t="s">
        <v>44</v>
      </c>
    </row>
    <row r="69" spans="1:18" ht="13.8">
      <c r="A69" s="34">
        <f ca="1">IFERROR(__xludf.DUMMYFUNCTION("""COMPUTED_VALUE"""),108)</f>
        <v>108</v>
      </c>
      <c r="B69" s="112" t="str">
        <f ca="1">IFERROR(__xludf.DUMMYFUNCTION("""COMPUTED_VALUE"""),"ghnxšp")</f>
        <v>ghnxšp</v>
      </c>
      <c r="C69" s="110" t="str">
        <f ca="1">IFERROR(__xludf.DUMMYFUNCTION("""COMPUTED_VALUE"""),"DDM Praha 6")</f>
        <v>DDM Praha 6</v>
      </c>
      <c r="D69" s="128" t="str">
        <f ca="1">IFERROR(__xludf.DUMMYFUNCTION("""COMPUTED_VALUE"""),"ZŠ")</f>
        <v>ZŠ</v>
      </c>
      <c r="E69" s="209">
        <f>MIN(F69:J69)</f>
        <v>4.1666666666666664E-2</v>
      </c>
      <c r="F69" s="210" t="str">
        <f>IF(L69=1,K69/$T$2*$S$2,IF(L69=2,K69/$T$2*$S$2*2,IF(L69="-",IF(K69="","",IF(ISTEXT(K69),K69,K69/$T$2)))))</f>
        <v>dnf</v>
      </c>
      <c r="G69" s="211" t="str">
        <f>IF(N69=1,M69/$T$2*$S$2,IF(N69=2,M69/$T$2*$S$2*2,IF(N69="-",IF(M69="","",IF(ISTEXT(M69),M69,M69/$T$2)))))</f>
        <v>dnf</v>
      </c>
      <c r="H69" s="211" t="str">
        <f>IF(P69=1,O69/$T$2*$S$2,IF(P69=2,O69/$T$2*$S$2*2,IF(P69="-",IF(O69="","",IF(ISTEXT(O69),O69,O69/$T$2)))))</f>
        <v/>
      </c>
      <c r="I69" s="211" t="str">
        <f>IF(R69=1,Q69/$T$2*$S$2,IF(R69=2,Q69/$T$2*$S$2*2,IF(R69="-",IF(Q69="","",IF(ISTEXT(Q69),Q69,Q69/$T$2)))))</f>
        <v/>
      </c>
      <c r="J69" s="212">
        <v>4.1666666666666664E-2</v>
      </c>
      <c r="K69" s="213" t="s">
        <v>48</v>
      </c>
      <c r="L69" s="107" t="s">
        <v>44</v>
      </c>
      <c r="M69" s="220" t="s">
        <v>48</v>
      </c>
      <c r="N69" s="107" t="s">
        <v>44</v>
      </c>
      <c r="O69" s="109"/>
      <c r="P69" s="107" t="s">
        <v>44</v>
      </c>
      <c r="Q69" s="109"/>
      <c r="R69" s="107" t="s">
        <v>44</v>
      </c>
    </row>
    <row r="70" spans="1:18" ht="13.8">
      <c r="A70" s="34">
        <f ca="1">IFERROR(__xludf.DUMMYFUNCTION("""COMPUTED_VALUE"""),113)</f>
        <v>113</v>
      </c>
      <c r="B70" s="112" t="str">
        <f ca="1">IFERROR(__xludf.DUMMYFUNCTION("""COMPUTED_VALUE"""),"CZŠ Veselí")</f>
        <v>CZŠ Veselí</v>
      </c>
      <c r="C70" s="110" t="str">
        <f ca="1">IFERROR(__xludf.DUMMYFUNCTION("""COMPUTED_VALUE"""),"CZŠ Veselí nad Moravou")</f>
        <v>CZŠ Veselí nad Moravou</v>
      </c>
      <c r="D70" s="128" t="str">
        <f ca="1">IFERROR(__xludf.DUMMYFUNCTION("""COMPUTED_VALUE"""),"ZŠ")</f>
        <v>ZŠ</v>
      </c>
      <c r="E70" s="209">
        <f>MIN(F70:J70)</f>
        <v>4.1666666666666664E-2</v>
      </c>
      <c r="F70" s="210" t="str">
        <f>IF(L70=1,K70/$T$2*$S$2,IF(L70=2,K70/$T$2*$S$2*2,IF(L70="-",IF(K70="","",IF(ISTEXT(K70),K70,K70/$T$2)))))</f>
        <v>dnf</v>
      </c>
      <c r="G70" s="211" t="str">
        <f>IF(N70=1,M70/$T$2*$S$2,IF(N70=2,M70/$T$2*$S$2*2,IF(N70="-",IF(M70="","",IF(ISTEXT(M70),M70,M70/$T$2)))))</f>
        <v>dnf</v>
      </c>
      <c r="H70" s="211" t="str">
        <f>IF(P70=1,O70/$T$2*$S$2,IF(P70=2,O70/$T$2*$S$2*2,IF(P70="-",IF(O70="","",IF(ISTEXT(O70),O70,O70/$T$2)))))</f>
        <v/>
      </c>
      <c r="I70" s="211" t="str">
        <f>IF(R70=1,Q70/$T$2*$S$2,IF(R70=2,Q70/$T$2*$S$2*2,IF(R70="-",IF(Q70="","",IF(ISTEXT(Q70),Q70,Q70/$T$2)))))</f>
        <v/>
      </c>
      <c r="J70" s="212">
        <v>4.1666666666666664E-2</v>
      </c>
      <c r="K70" s="213" t="s">
        <v>48</v>
      </c>
      <c r="L70" s="107" t="s">
        <v>44</v>
      </c>
      <c r="M70" s="220" t="s">
        <v>48</v>
      </c>
      <c r="N70" s="107" t="s">
        <v>44</v>
      </c>
      <c r="O70" s="109"/>
      <c r="P70" s="107" t="s">
        <v>44</v>
      </c>
      <c r="Q70" s="109"/>
      <c r="R70" s="107" t="s">
        <v>44</v>
      </c>
    </row>
    <row r="71" spans="1:18" ht="13.8">
      <c r="A71" s="34">
        <f ca="1">IFERROR(__xludf.DUMMYFUNCTION("""COMPUTED_VALUE"""),115)</f>
        <v>115</v>
      </c>
      <c r="B71" s="112" t="str">
        <f ca="1">IFERROR(__xludf.DUMMYFUNCTION("""COMPUTED_VALUE"""),"Robokrug II")</f>
        <v>Robokrug II</v>
      </c>
      <c r="C71" s="110" t="str">
        <f ca="1">IFERROR(__xludf.DUMMYFUNCTION("""COMPUTED_VALUE"""),"DDM Ostrava - Poruba")</f>
        <v>DDM Ostrava - Poruba</v>
      </c>
      <c r="D71" s="128" t="str">
        <f ca="1">IFERROR(__xludf.DUMMYFUNCTION("""COMPUTED_VALUE"""),"SŠ")</f>
        <v>SŠ</v>
      </c>
      <c r="E71" s="209">
        <f>MIN(F71:J71)</f>
        <v>4.1666666666666664E-2</v>
      </c>
      <c r="F71" s="210" t="str">
        <f>IF(L71=1,K71/$T$2*$S$2,IF(L71=2,K71/$T$2*$S$2*2,IF(L71="-",IF(K71="","",IF(ISTEXT(K71),K71,K71/$T$2)))))</f>
        <v/>
      </c>
      <c r="G71" s="211" t="str">
        <f>IF(N71=1,M71/$T$2*$S$2,IF(N71=2,M71/$T$2*$S$2*2,IF(N71="-",IF(M71="","",IF(ISTEXT(M71),M71,M71/$T$2)))))</f>
        <v/>
      </c>
      <c r="H71" s="211" t="str">
        <f>IF(P71=1,O71/$T$2*$S$2,IF(P71=2,O71/$T$2*$S$2*2,IF(P71="-",IF(O71="","",IF(ISTEXT(O71),O71,O71/$T$2)))))</f>
        <v/>
      </c>
      <c r="I71" s="211" t="str">
        <f>IF(R71=1,Q71/$T$2*$S$2,IF(R71=2,Q71/$T$2*$S$2*2,IF(R71="-",IF(Q71="","",IF(ISTEXT(Q71),Q71,Q71/$T$2)))))</f>
        <v/>
      </c>
      <c r="J71" s="212">
        <v>4.1666666666666664E-2</v>
      </c>
      <c r="K71" s="214"/>
      <c r="L71" s="107" t="s">
        <v>44</v>
      </c>
      <c r="M71" s="221"/>
      <c r="N71" s="107" t="s">
        <v>44</v>
      </c>
      <c r="O71" s="109"/>
      <c r="P71" s="107" t="s">
        <v>44</v>
      </c>
      <c r="Q71" s="109"/>
      <c r="R71" s="107" t="s">
        <v>44</v>
      </c>
    </row>
    <row r="72" spans="1:18" ht="13.8">
      <c r="A72" s="34">
        <f ca="1">IFERROR(__xludf.DUMMYFUNCTION("""COMPUTED_VALUE"""),117)</f>
        <v>117</v>
      </c>
      <c r="B72" s="112" t="str">
        <f ca="1">IFERROR(__xludf.DUMMYFUNCTION("""COMPUTED_VALUE"""),"Crazy brick")</f>
        <v>Crazy brick</v>
      </c>
      <c r="C72" s="110" t="str">
        <f ca="1">IFERROR(__xludf.DUMMYFUNCTION("""COMPUTED_VALUE"""),"DDM Praha 4 - Hobby centrum 4")</f>
        <v>DDM Praha 4 - Hobby centrum 4</v>
      </c>
      <c r="D72" s="111" t="str">
        <f ca="1">IFERROR(__xludf.DUMMYFUNCTION("""COMPUTED_VALUE"""),"ZŠ")</f>
        <v>ZŠ</v>
      </c>
      <c r="E72" s="209">
        <f>MIN(F72:J72)</f>
        <v>4.1666666666666664E-2</v>
      </c>
      <c r="F72" s="210" t="str">
        <f>IF(L72=1,K72/$T$2*$S$2,IF(L72=2,K72/$T$2*$S$2*2,IF(L72="-",IF(K72="","",IF(ISTEXT(K72),K72,K72/$T$2)))))</f>
        <v/>
      </c>
      <c r="G72" s="211" t="str">
        <f>IF(N72=1,M72/$T$2*$S$2,IF(N72=2,M72/$T$2*$S$2*2,IF(N72="-",IF(M72="","",IF(ISTEXT(M72),M72,M72/$T$2)))))</f>
        <v/>
      </c>
      <c r="H72" s="211" t="str">
        <f>IF(P72=1,O72/$T$2*$S$2,IF(P72=2,O72/$T$2*$S$2*2,IF(P72="-",IF(O72="","",IF(ISTEXT(O72),O72,O72/$T$2)))))</f>
        <v/>
      </c>
      <c r="I72" s="211" t="str">
        <f>IF(R72=1,Q72/$T$2*$S$2,IF(R72=2,Q72/$T$2*$S$2*2,IF(R72="-",IF(Q72="","",IF(ISTEXT(Q72),Q72,Q72/$T$2)))))</f>
        <v/>
      </c>
      <c r="J72" s="212">
        <v>4.1666666666666664E-2</v>
      </c>
      <c r="K72" s="214"/>
      <c r="L72" s="107" t="s">
        <v>44</v>
      </c>
      <c r="M72" s="221"/>
      <c r="N72" s="107" t="s">
        <v>44</v>
      </c>
      <c r="O72" s="109"/>
      <c r="P72" s="107" t="s">
        <v>44</v>
      </c>
      <c r="Q72" s="109"/>
      <c r="R72" s="107" t="s">
        <v>44</v>
      </c>
    </row>
    <row r="73" spans="1:18" ht="27.6">
      <c r="A73" s="34">
        <f ca="1">IFERROR(__xludf.DUMMYFUNCTION("""COMPUTED_VALUE"""),124)</f>
        <v>124</v>
      </c>
      <c r="B73" s="112" t="str">
        <f ca="1">IFERROR(__xludf.DUMMYFUNCTION("""COMPUTED_VALUE"""),"GMCT major")</f>
        <v>GMCT major</v>
      </c>
      <c r="C73" s="110" t="str">
        <f ca="1">IFERROR(__xludf.DUMMYFUNCTION("""COMPUTED_VALUE"""),"Gymnázium Josefa Božka Český Těšín")</f>
        <v>Gymnázium Josefa Božka Český Těšín</v>
      </c>
      <c r="D73" s="128" t="str">
        <f ca="1">IFERROR(__xludf.DUMMYFUNCTION("""COMPUTED_VALUE"""),"SŠ")</f>
        <v>SŠ</v>
      </c>
      <c r="E73" s="209">
        <f>MIN(F73:J73)</f>
        <v>4.1666666666666664E-2</v>
      </c>
      <c r="F73" s="210" t="str">
        <f>IF(L73=1,K73/$T$2*$S$2,IF(L73=2,K73/$T$2*$S$2*2,IF(L73="-",IF(K73="","",IF(ISTEXT(K73),K73,K73/$T$2)))))</f>
        <v>dnf</v>
      </c>
      <c r="G73" s="211" t="str">
        <f>IF(N73=1,M73/$T$2*$S$2,IF(N73=2,M73/$T$2*$S$2*2,IF(N73="-",IF(M73="","",IF(ISTEXT(M73),M73,M73/$T$2)))))</f>
        <v/>
      </c>
      <c r="H73" s="211" t="str">
        <f>IF(P73=1,O73/$T$2*$S$2,IF(P73=2,O73/$T$2*$S$2*2,IF(P73="-",IF(O73="","",IF(ISTEXT(O73),O73,O73/$T$2)))))</f>
        <v/>
      </c>
      <c r="I73" s="211" t="str">
        <f>IF(R73=1,Q73/$T$2*$S$2,IF(R73=2,Q73/$T$2*$S$2*2,IF(R73="-",IF(Q73="","",IF(ISTEXT(Q73),Q73,Q73/$T$2)))))</f>
        <v/>
      </c>
      <c r="J73" s="212">
        <v>4.1666666666666664E-2</v>
      </c>
      <c r="K73" s="213" t="s">
        <v>48</v>
      </c>
      <c r="L73" s="107" t="s">
        <v>44</v>
      </c>
      <c r="M73" s="221"/>
      <c r="N73" s="107" t="s">
        <v>44</v>
      </c>
      <c r="O73" s="109"/>
      <c r="P73" s="107" t="s">
        <v>44</v>
      </c>
      <c r="Q73" s="109"/>
      <c r="R73" s="107" t="s">
        <v>44</v>
      </c>
    </row>
    <row r="74" spans="1:18" ht="13.8">
      <c r="A74" s="34">
        <f ca="1">IFERROR(__xludf.DUMMYFUNCTION("""COMPUTED_VALUE"""),135)</f>
        <v>135</v>
      </c>
      <c r="B74" s="112" t="str">
        <f ca="1">IFERROR(__xludf.DUMMYFUNCTION("""COMPUTED_VALUE"""),"Kaštani")</f>
        <v>Kaštani</v>
      </c>
      <c r="C74" s="110" t="str">
        <f ca="1">IFERROR(__xludf.DUMMYFUNCTION("""COMPUTED_VALUE"""),"Matiční gymnázium, Ostrava")</f>
        <v>Matiční gymnázium, Ostrava</v>
      </c>
      <c r="D74" s="128" t="str">
        <f ca="1">IFERROR(__xludf.DUMMYFUNCTION("""COMPUTED_VALUE"""),"ZŠ")</f>
        <v>ZŠ</v>
      </c>
      <c r="E74" s="209">
        <f>MIN(F74:J74)</f>
        <v>4.1666666666666664E-2</v>
      </c>
      <c r="F74" s="210" t="str">
        <f>IF(L74=1,K74/$T$2*$S$2,IF(L74=2,K74/$T$2*$S$2*2,IF(L74="-",IF(K74="","",IF(ISTEXT(K74),K74,K74/$T$2)))))</f>
        <v/>
      </c>
      <c r="G74" s="211" t="str">
        <f>IF(N74=1,M74/$T$2*$S$2,IF(N74=2,M74/$T$2*$S$2*2,IF(N74="-",IF(M74="","",IF(ISTEXT(M74),M74,M74/$T$2)))))</f>
        <v/>
      </c>
      <c r="H74" s="211" t="str">
        <f>IF(P74=1,O74/$T$2*$S$2,IF(P74=2,O74/$T$2*$S$2*2,IF(P74="-",IF(O74="","",IF(ISTEXT(O74),O74,O74/$T$2)))))</f>
        <v/>
      </c>
      <c r="I74" s="211" t="str">
        <f>IF(R74=1,Q74/$T$2*$S$2,IF(R74=2,Q74/$T$2*$S$2*2,IF(R74="-",IF(Q74="","",IF(ISTEXT(Q74),Q74,Q74/$T$2)))))</f>
        <v/>
      </c>
      <c r="J74" s="212">
        <v>4.1666666666666664E-2</v>
      </c>
      <c r="K74" s="214"/>
      <c r="L74" s="107" t="s">
        <v>44</v>
      </c>
      <c r="M74" s="221"/>
      <c r="N74" s="107" t="s">
        <v>44</v>
      </c>
      <c r="O74" s="109"/>
      <c r="P74" s="107" t="s">
        <v>44</v>
      </c>
      <c r="Q74" s="109"/>
      <c r="R74" s="107" t="s">
        <v>44</v>
      </c>
    </row>
    <row r="75" spans="1:18" ht="13.8">
      <c r="A75" s="34">
        <f ca="1">IFERROR(__xludf.DUMMYFUNCTION("""COMPUTED_VALUE"""),138)</f>
        <v>138</v>
      </c>
      <c r="B75" s="112" t="str">
        <f ca="1">IFERROR(__xludf.DUMMYFUNCTION("""COMPUTED_VALUE"""),"_Půda Crew 2")</f>
        <v>_Půda Crew 2</v>
      </c>
      <c r="C75" s="110" t="str">
        <f ca="1">IFERROR(__xludf.DUMMYFUNCTION("""COMPUTED_VALUE"""),"Městská knihovna Polička")</f>
        <v>Městská knihovna Polička</v>
      </c>
      <c r="D75" s="128" t="str">
        <f ca="1">IFERROR(__xludf.DUMMYFUNCTION("""COMPUTED_VALUE"""),"ZŠ")</f>
        <v>ZŠ</v>
      </c>
      <c r="E75" s="209">
        <f>MIN(F75:J75)</f>
        <v>4.1666666666666664E-2</v>
      </c>
      <c r="F75" s="210" t="str">
        <f>IF(L75=1,K75/$T$2*$S$2,IF(L75=2,K75/$T$2*$S$2*2,IF(L75="-",IF(K75="","",IF(ISTEXT(K75),K75,K75/$T$2)))))</f>
        <v>dnf</v>
      </c>
      <c r="G75" s="211" t="str">
        <f>IF(N75=1,M75/$T$2*$S$2,IF(N75=2,M75/$T$2*$S$2*2,IF(N75="-",IF(M75="","",IF(ISTEXT(M75),M75,M75/$T$2)))))</f>
        <v>dnf</v>
      </c>
      <c r="H75" s="211" t="str">
        <f>IF(P75=1,O75/$T$2*$S$2,IF(P75=2,O75/$T$2*$S$2*2,IF(P75="-",IF(O75="","",IF(ISTEXT(O75),O75,O75/$T$2)))))</f>
        <v/>
      </c>
      <c r="I75" s="211" t="str">
        <f>IF(R75=1,Q75/$T$2*$S$2,IF(R75=2,Q75/$T$2*$S$2*2,IF(R75="-",IF(Q75="","",IF(ISTEXT(Q75),Q75,Q75/$T$2)))))</f>
        <v/>
      </c>
      <c r="J75" s="212">
        <v>4.1666666666666664E-2</v>
      </c>
      <c r="K75" s="213" t="s">
        <v>48</v>
      </c>
      <c r="L75" s="107" t="s">
        <v>44</v>
      </c>
      <c r="M75" s="220" t="s">
        <v>48</v>
      </c>
      <c r="N75" s="107" t="s">
        <v>44</v>
      </c>
      <c r="O75" s="109"/>
      <c r="P75" s="107" t="s">
        <v>44</v>
      </c>
      <c r="Q75" s="109"/>
      <c r="R75" s="107" t="s">
        <v>44</v>
      </c>
    </row>
    <row r="76" spans="1:18" ht="13.8">
      <c r="A76" s="34">
        <f ca="1">IFERROR(__xludf.DUMMYFUNCTION("""COMPUTED_VALUE"""),140)</f>
        <v>140</v>
      </c>
      <c r="B76" s="112" t="str">
        <f ca="1">IFERROR(__xludf.DUMMYFUNCTION("""COMPUTED_VALUE"""),"SOŠ-E Žilina")</f>
        <v>SOŠ-E Žilina</v>
      </c>
      <c r="C76" s="110" t="str">
        <f ca="1">IFERROR(__xludf.DUMMYFUNCTION("""COMPUTED_VALUE"""),"SOŠ elektrotechnická Žilina")</f>
        <v>SOŠ elektrotechnická Žilina</v>
      </c>
      <c r="D76" s="128" t="str">
        <f ca="1">IFERROR(__xludf.DUMMYFUNCTION("""COMPUTED_VALUE"""),"SŠ")</f>
        <v>SŠ</v>
      </c>
      <c r="E76" s="209">
        <f>MIN(F76:J76)</f>
        <v>4.1666666666666664E-2</v>
      </c>
      <c r="F76" s="210" t="str">
        <f>IF(L76=1,K76/$T$2*$S$2,IF(L76=2,K76/$T$2*$S$2*2,IF(L76="-",IF(K76="","",IF(ISTEXT(K76),K76,K76/$T$2)))))</f>
        <v>dnf</v>
      </c>
      <c r="G76" s="211" t="str">
        <f>IF(N76=1,M76/$T$2*$S$2,IF(N76=2,M76/$T$2*$S$2*2,IF(N76="-",IF(M76="","",IF(ISTEXT(M76),M76,M76/$T$2)))))</f>
        <v>dnf</v>
      </c>
      <c r="H76" s="211" t="str">
        <f>IF(P76=1,O76/$T$2*$S$2,IF(P76=2,O76/$T$2*$S$2*2,IF(P76="-",IF(O76="","",IF(ISTEXT(O76),O76,O76/$T$2)))))</f>
        <v/>
      </c>
      <c r="I76" s="211" t="str">
        <f>IF(R76=1,Q76/$T$2*$S$2,IF(R76=2,Q76/$T$2*$S$2*2,IF(R76="-",IF(Q76="","",IF(ISTEXT(Q76),Q76,Q76/$T$2)))))</f>
        <v/>
      </c>
      <c r="J76" s="212">
        <v>4.1666666666666664E-2</v>
      </c>
      <c r="K76" s="213" t="s">
        <v>48</v>
      </c>
      <c r="L76" s="107" t="s">
        <v>44</v>
      </c>
      <c r="M76" s="220" t="s">
        <v>48</v>
      </c>
      <c r="N76" s="107" t="s">
        <v>44</v>
      </c>
      <c r="O76" s="109"/>
      <c r="P76" s="107" t="s">
        <v>44</v>
      </c>
      <c r="Q76" s="109"/>
      <c r="R76" s="107" t="s">
        <v>44</v>
      </c>
    </row>
    <row r="77" spans="1:18" ht="13.8">
      <c r="A77" s="34">
        <f ca="1">IFERROR(__xludf.DUMMYFUNCTION("""COMPUTED_VALUE"""),144)</f>
        <v>144</v>
      </c>
      <c r="B77" s="112" t="str">
        <f ca="1">IFERROR(__xludf.DUMMYFUNCTION("""COMPUTED_VALUE"""),"Kulišáci")</f>
        <v>Kulišáci</v>
      </c>
      <c r="C77" s="110" t="str">
        <f ca="1">IFERROR(__xludf.DUMMYFUNCTION("""COMPUTED_VALUE"""),"SPŠ Prosek")</f>
        <v>SPŠ Prosek</v>
      </c>
      <c r="D77" s="128" t="str">
        <f ca="1">IFERROR(__xludf.DUMMYFUNCTION("""COMPUTED_VALUE"""),"SŠ")</f>
        <v>SŠ</v>
      </c>
      <c r="E77" s="209">
        <f>MIN(F77:J77)</f>
        <v>4.1666666666666664E-2</v>
      </c>
      <c r="F77" s="210" t="str">
        <f>IF(L77=1,K77/$T$2*$S$2,IF(L77=2,K77/$T$2*$S$2*2,IF(L77="-",IF(K77="","",IF(ISTEXT(K77),K77,K77/$T$2)))))</f>
        <v>dnf</v>
      </c>
      <c r="G77" s="211" t="str">
        <f>IF(N77=1,M77/$T$2*$S$2,IF(N77=2,M77/$T$2*$S$2*2,IF(N77="-",IF(M77="","",IF(ISTEXT(M77),M77,M77/$T$2)))))</f>
        <v>dnf</v>
      </c>
      <c r="H77" s="211" t="str">
        <f>IF(P77=1,O77/$T$2*$S$2,IF(P77=2,O77/$T$2*$S$2*2,IF(P77="-",IF(O77="","",IF(ISTEXT(O77),O77,O77/$T$2)))))</f>
        <v/>
      </c>
      <c r="I77" s="211" t="str">
        <f>IF(R77=1,Q77/$T$2*$S$2,IF(R77=2,Q77/$T$2*$S$2*2,IF(R77="-",IF(Q77="","",IF(ISTEXT(Q77),Q77,Q77/$T$2)))))</f>
        <v/>
      </c>
      <c r="J77" s="212">
        <v>4.1666666666666664E-2</v>
      </c>
      <c r="K77" s="213" t="s">
        <v>48</v>
      </c>
      <c r="L77" s="107" t="s">
        <v>44</v>
      </c>
      <c r="M77" s="220" t="s">
        <v>48</v>
      </c>
      <c r="N77" s="107" t="s">
        <v>44</v>
      </c>
      <c r="O77" s="109"/>
      <c r="P77" s="107" t="s">
        <v>44</v>
      </c>
      <c r="Q77" s="109"/>
      <c r="R77" s="107" t="s">
        <v>44</v>
      </c>
    </row>
    <row r="78" spans="1:18" ht="27.6">
      <c r="A78" s="29">
        <f ca="1">IFERROR(__xludf.DUMMYFUNCTION("""COMPUTED_VALUE"""),149)</f>
        <v>149</v>
      </c>
      <c r="B78" s="132" t="str">
        <f ca="1">IFERROR(__xludf.DUMMYFUNCTION("""COMPUTED_VALUE"""),"TÉKÁČKO")</f>
        <v>TÉKÁČKO</v>
      </c>
      <c r="C78" s="121" t="str">
        <f ca="1">IFERROR(__xludf.DUMMYFUNCTION("""COMPUTED_VALUE"""),"Technologický klub Albrechtice n/Orlicí")</f>
        <v>Technologický klub Albrechtice n/Orlicí</v>
      </c>
      <c r="D78" s="124" t="str">
        <f ca="1">IFERROR(__xludf.DUMMYFUNCTION("""COMPUTED_VALUE"""),"ZŠ")</f>
        <v>ZŠ</v>
      </c>
      <c r="E78" s="209">
        <f>MIN(F78:J78)</f>
        <v>4.1666666666666664E-2</v>
      </c>
      <c r="F78" s="210" t="str">
        <f>IF(L78=1,K78/$T$2*$S$2,IF(L78=2,K78/$T$2*$S$2*2,IF(L78="-",IF(K78="","",IF(ISTEXT(K78),K78,K78/$T$2)))))</f>
        <v>dnf</v>
      </c>
      <c r="G78" s="211" t="str">
        <f>IF(N78=1,M78/$T$2*$S$2,IF(N78=2,M78/$T$2*$S$2*2,IF(N78="-",IF(M78="","",IF(ISTEXT(M78),M78,M78/$T$2)))))</f>
        <v>dnf</v>
      </c>
      <c r="H78" s="211" t="str">
        <f>IF(P78=1,O78/$T$2*$S$2,IF(P78=2,O78/$T$2*$S$2*2,IF(P78="-",IF(O78="","",IF(ISTEXT(O78),O78,O78/$T$2)))))</f>
        <v/>
      </c>
      <c r="I78" s="211" t="str">
        <f>IF(R78=1,Q78/$T$2*$S$2,IF(R78=2,Q78/$T$2*$S$2*2,IF(R78="-",IF(Q78="","",IF(ISTEXT(Q78),Q78,Q78/$T$2)))))</f>
        <v/>
      </c>
      <c r="J78" s="212">
        <v>4.1666666666666664E-2</v>
      </c>
      <c r="K78" s="213" t="s">
        <v>48</v>
      </c>
      <c r="L78" s="107" t="s">
        <v>44</v>
      </c>
      <c r="M78" s="220" t="s">
        <v>48</v>
      </c>
      <c r="N78" s="107" t="s">
        <v>44</v>
      </c>
      <c r="O78" s="109"/>
      <c r="P78" s="107" t="s">
        <v>44</v>
      </c>
      <c r="Q78" s="109"/>
      <c r="R78" s="107" t="s">
        <v>44</v>
      </c>
    </row>
    <row r="79" spans="1:18" ht="27.6">
      <c r="A79" s="34">
        <f ca="1">IFERROR(__xludf.DUMMYFUNCTION("""COMPUTED_VALUE"""),157)</f>
        <v>157</v>
      </c>
      <c r="B79" s="112" t="str">
        <f ca="1">IFERROR(__xludf.DUMMYFUNCTION("""COMPUTED_VALUE"""),"Voittaja")</f>
        <v>Voittaja</v>
      </c>
      <c r="C79" s="110" t="str">
        <f ca="1">IFERROR(__xludf.DUMMYFUNCTION("""COMPUTED_VALUE"""),"Základná škola, Trieda SNP 20, Banská Bystrica")</f>
        <v>Základná škola, Trieda SNP 20, Banská Bystrica</v>
      </c>
      <c r="D79" s="128" t="str">
        <f ca="1">IFERROR(__xludf.DUMMYFUNCTION("""COMPUTED_VALUE"""),"ZŠ")</f>
        <v>ZŠ</v>
      </c>
      <c r="E79" s="209">
        <f>MIN(F79:J79)</f>
        <v>4.1666666666666664E-2</v>
      </c>
      <c r="F79" s="210" t="str">
        <f>IF(L79=1,K79/$T$2*$S$2,IF(L79=2,K79/$T$2*$S$2*2,IF(L79="-",IF(K79="","",IF(ISTEXT(K79),K79,K79/$T$2)))))</f>
        <v>dnf</v>
      </c>
      <c r="G79" s="211" t="str">
        <f>IF(N79=1,M79/$T$2*$S$2,IF(N79=2,M79/$T$2*$S$2*2,IF(N79="-",IF(M79="","",IF(ISTEXT(M79),M79,M79/$T$2)))))</f>
        <v/>
      </c>
      <c r="H79" s="211" t="str">
        <f>IF(P79=1,O79/$T$2*$S$2,IF(P79=2,O79/$T$2*$S$2*2,IF(P79="-",IF(O79="","",IF(ISTEXT(O79),O79,O79/$T$2)))))</f>
        <v/>
      </c>
      <c r="I79" s="211" t="str">
        <f>IF(R79=1,Q79/$T$2*$S$2,IF(R79=2,Q79/$T$2*$S$2*2,IF(R79="-",IF(Q79="","",IF(ISTEXT(Q79),Q79,Q79/$T$2)))))</f>
        <v/>
      </c>
      <c r="J79" s="212">
        <v>4.1666666666666664E-2</v>
      </c>
      <c r="K79" s="213" t="s">
        <v>48</v>
      </c>
      <c r="L79" s="107" t="s">
        <v>44</v>
      </c>
      <c r="M79" s="221"/>
      <c r="N79" s="107" t="s">
        <v>44</v>
      </c>
      <c r="O79" s="109"/>
      <c r="P79" s="107" t="s">
        <v>44</v>
      </c>
      <c r="Q79" s="109"/>
      <c r="R79" s="107" t="s">
        <v>44</v>
      </c>
    </row>
    <row r="80" spans="1:18" ht="13.8">
      <c r="A80" s="34">
        <f ca="1">IFERROR(__xludf.DUMMYFUNCTION("""COMPUTED_VALUE"""),161)</f>
        <v>161</v>
      </c>
      <c r="B80" s="112" t="str">
        <f ca="1">IFERROR(__xludf.DUMMYFUNCTION("""COMPUTED_VALUE"""),"Robokop")</f>
        <v>Robokop</v>
      </c>
      <c r="C80" s="110" t="str">
        <f ca="1">IFERROR(__xludf.DUMMYFUNCTION("""COMPUTED_VALUE"""),"ZŠ Hustopeče, Komenského")</f>
        <v>ZŠ Hustopeče, Komenského</v>
      </c>
      <c r="D80" s="128" t="str">
        <f ca="1">IFERROR(__xludf.DUMMYFUNCTION("""COMPUTED_VALUE"""),"ZŠ")</f>
        <v>ZŠ</v>
      </c>
      <c r="E80" s="209">
        <f>MIN(F80:J80)</f>
        <v>4.1666666666666664E-2</v>
      </c>
      <c r="F80" s="210" t="str">
        <f>IF(L80=1,K80/$T$2*$S$2,IF(L80=2,K80/$T$2*$S$2*2,IF(L80="-",IF(K80="","",IF(ISTEXT(K80),K80,K80/$T$2)))))</f>
        <v/>
      </c>
      <c r="G80" s="211" t="str">
        <f>IF(N80=1,M80/$T$2*$S$2,IF(N80=2,M80/$T$2*$S$2*2,IF(N80="-",IF(M80="","",IF(ISTEXT(M80),M80,M80/$T$2)))))</f>
        <v/>
      </c>
      <c r="H80" s="211" t="str">
        <f>IF(P80=1,O80/$T$2*$S$2,IF(P80=2,O80/$T$2*$S$2*2,IF(P80="-",IF(O80="","",IF(ISTEXT(O80),O80,O80/$T$2)))))</f>
        <v/>
      </c>
      <c r="I80" s="211" t="str">
        <f>IF(R80=1,Q80/$T$2*$S$2,IF(R80=2,Q80/$T$2*$S$2*2,IF(R80="-",IF(Q80="","",IF(ISTEXT(Q80),Q80,Q80/$T$2)))))</f>
        <v/>
      </c>
      <c r="J80" s="212">
        <v>4.1666666666666664E-2</v>
      </c>
      <c r="K80" s="214"/>
      <c r="L80" s="107" t="s">
        <v>44</v>
      </c>
      <c r="M80" s="221"/>
      <c r="N80" s="107" t="s">
        <v>44</v>
      </c>
      <c r="O80" s="109"/>
      <c r="P80" s="107" t="s">
        <v>44</v>
      </c>
      <c r="Q80" s="109"/>
      <c r="R80" s="107" t="s">
        <v>44</v>
      </c>
    </row>
    <row r="81" spans="1:19" ht="27.6">
      <c r="A81" s="34">
        <f ca="1">IFERROR(__xludf.DUMMYFUNCTION("""COMPUTED_VALUE"""),181)</f>
        <v>181</v>
      </c>
      <c r="B81" s="112" t="str">
        <f ca="1">IFERROR(__xludf.DUMMYFUNCTION("""COMPUTED_VALUE"""),"Jd_byku")</f>
        <v>Jd_byku</v>
      </c>
      <c r="C81" s="110" t="str">
        <f ca="1">IFERROR(__xludf.DUMMYFUNCTION("""COMPUTED_VALUE"""),"LO Bieruń")</f>
        <v>LO Bieruń</v>
      </c>
      <c r="D81" s="128" t="str">
        <f ca="1">IFERROR(__xludf.DUMMYFUNCTION("""COMPUTED_VALUE"""),"SŠ (15-19 years)")</f>
        <v>SŠ (15-19 years)</v>
      </c>
      <c r="E81" s="209">
        <f>MIN(F81:J81)</f>
        <v>4.1666666666666664E-2</v>
      </c>
      <c r="F81" s="210" t="str">
        <f>IF(L81=1,K81/$T$2*$S$2,IF(L81=2,K81/$T$2*$S$2*2,IF(L81="-",IF(K81="","",IF(ISTEXT(K81),K81,K81/$T$2)))))</f>
        <v/>
      </c>
      <c r="G81" s="211" t="str">
        <f>IF(N81=1,M81/$T$2*$S$2,IF(N81=2,M81/$T$2*$S$2*2,IF(N81="-",IF(M81="","",IF(ISTEXT(M81),M81,M81/$T$2)))))</f>
        <v/>
      </c>
      <c r="H81" s="211" t="str">
        <f>IF(P81=1,O81/$T$2*$S$2,IF(P81=2,O81/$T$2*$S$2*2,IF(P81="-",IF(O81="","",IF(ISTEXT(O81),O81,O81/$T$2)))))</f>
        <v/>
      </c>
      <c r="I81" s="211" t="str">
        <f>IF(R81=1,Q81/$T$2*$S$2,IF(R81=2,Q81/$T$2*$S$2*2,IF(R81="-",IF(Q81="","",IF(ISTEXT(Q81),Q81,Q81/$T$2)))))</f>
        <v/>
      </c>
      <c r="J81" s="212">
        <v>4.1666666666666664E-2</v>
      </c>
      <c r="K81" s="214"/>
      <c r="L81" s="107" t="s">
        <v>44</v>
      </c>
      <c r="M81" s="221"/>
      <c r="N81" s="107" t="s">
        <v>44</v>
      </c>
      <c r="O81" s="109"/>
      <c r="P81" s="107" t="s">
        <v>44</v>
      </c>
      <c r="Q81" s="109"/>
      <c r="R81" s="107" t="s">
        <v>44</v>
      </c>
    </row>
    <row r="82" spans="1:19" ht="27.6">
      <c r="A82" s="34">
        <f ca="1">IFERROR(__xludf.DUMMYFUNCTION("""COMPUTED_VALUE"""),175)</f>
        <v>175</v>
      </c>
      <c r="B82" s="112" t="str">
        <f ca="1">IFERROR(__xludf.DUMMYFUNCTION("""COMPUTED_VALUE"""),"Los Brikulos")</f>
        <v>Los Brikulos</v>
      </c>
      <c r="C82" s="110" t="str">
        <f ca="1">IFERROR(__xludf.DUMMYFUNCTION("""COMPUTED_VALUE"""),"Gymnázium Jiřího Ortena Kutná Hora")</f>
        <v>Gymnázium Jiřího Ortena Kutná Hora</v>
      </c>
      <c r="D82" s="111" t="str">
        <f ca="1">IFERROR(__xludf.DUMMYFUNCTION("""COMPUTED_VALUE"""),"SŠ")</f>
        <v>SŠ</v>
      </c>
      <c r="E82" s="209">
        <f>MIN(F82:J82)</f>
        <v>8.3333333333333329E-2</v>
      </c>
      <c r="F82" s="210" t="str">
        <f>IF(L82=1,K82/$T$2*$S$2,IF(L82=2,K82/$T$2*$S$2*2,IF(L82="-",IF(K82="","",IF(ISTEXT(K82),K82,K82/$T$2)))))</f>
        <v>dnf</v>
      </c>
      <c r="G82" s="211" t="str">
        <f>IF(N82=1,M82/$T$2*$S$2,IF(N82=2,M82/$T$2*$S$2*2,IF(N82="-",IF(M82="","",IF(ISTEXT(M82),M82,M82/$T$2)))))</f>
        <v/>
      </c>
      <c r="H82" s="211" t="str">
        <f>IF(P82=1,O82/$T$2*$S$2,IF(P82=2,O82/$T$2*$S$2*2,IF(P82="-",IF(O82="","",IF(ISTEXT(O82),O82,O82/$T$2)))))</f>
        <v/>
      </c>
      <c r="I82" s="211" t="str">
        <f>IF(R82=1,Q82/$T$2*$S$2,IF(R82=2,Q82/$T$2*$S$2*2,IF(R82="-",IF(Q82="","",IF(ISTEXT(Q82),Q82,Q82/$T$2)))))</f>
        <v/>
      </c>
      <c r="J82" s="212">
        <v>8.3333333333333329E-2</v>
      </c>
      <c r="K82" s="213" t="s">
        <v>48</v>
      </c>
      <c r="L82" s="107" t="s">
        <v>44</v>
      </c>
      <c r="M82" s="221"/>
      <c r="N82" s="107" t="s">
        <v>44</v>
      </c>
      <c r="O82" s="109"/>
      <c r="P82" s="107" t="s">
        <v>44</v>
      </c>
      <c r="Q82" s="109"/>
      <c r="R82" s="107" t="s">
        <v>44</v>
      </c>
    </row>
    <row r="83" spans="1:19" ht="13.8">
      <c r="A83" s="34"/>
      <c r="B83" s="112"/>
      <c r="C83" s="110"/>
      <c r="D83" s="111"/>
      <c r="E83" s="209">
        <f t="shared" ref="E3:E102" si="0">MIN(F83:J83)</f>
        <v>4.1666666666666664E-2</v>
      </c>
      <c r="F83" s="210" t="str">
        <f t="shared" ref="F3:F102" si="1">IF(L83=1,K83/$T$2*$S$2,IF(L83=2,K83/$T$2*$S$2*2,IF(L83="-",IF(K83="","",IF(ISTEXT(K83),K83,K83/$T$2)))))</f>
        <v/>
      </c>
      <c r="G83" s="211" t="str">
        <f t="shared" ref="G3:G102" si="2">IF(N83=1,M83/$T$2*$S$2,IF(N83=2,M83/$T$2*$S$2*2,IF(N83="-",IF(M83="","",IF(ISTEXT(M83),M83,M83/$T$2)))))</f>
        <v/>
      </c>
      <c r="H83" s="211" t="str">
        <f t="shared" ref="H3:H102" si="3">IF(P83=1,O83/$T$2*$S$2,IF(P83=2,O83/$T$2*$S$2*2,IF(P83="-",IF(O83="","",IF(ISTEXT(O83),O83,O83/$T$2)))))</f>
        <v/>
      </c>
      <c r="I83" s="211" t="str">
        <f t="shared" ref="I3:I102" si="4">IF(R83=1,Q83/$T$2*$S$2,IF(R83=2,Q83/$T$2*$S$2*2,IF(R83="-",IF(Q83="","",IF(ISTEXT(Q83),Q83,Q83/$T$2)))))</f>
        <v/>
      </c>
      <c r="J83" s="212">
        <v>4.1666666666666664E-2</v>
      </c>
      <c r="K83" s="214"/>
      <c r="L83" s="107" t="s">
        <v>44</v>
      </c>
      <c r="M83" s="221"/>
      <c r="N83" s="107" t="s">
        <v>44</v>
      </c>
      <c r="O83" s="109"/>
      <c r="P83" s="107" t="s">
        <v>44</v>
      </c>
      <c r="Q83" s="109"/>
      <c r="R83" s="107" t="s">
        <v>44</v>
      </c>
    </row>
    <row r="84" spans="1:19" ht="13.8">
      <c r="A84" s="34"/>
      <c r="B84" s="112"/>
      <c r="C84" s="110"/>
      <c r="D84" s="128"/>
      <c r="E84" s="209">
        <f t="shared" si="0"/>
        <v>4.1666666666666664E-2</v>
      </c>
      <c r="F84" s="210" t="str">
        <f t="shared" si="1"/>
        <v/>
      </c>
      <c r="G84" s="211" t="str">
        <f t="shared" si="2"/>
        <v/>
      </c>
      <c r="H84" s="211" t="str">
        <f t="shared" si="3"/>
        <v/>
      </c>
      <c r="I84" s="211" t="str">
        <f t="shared" si="4"/>
        <v/>
      </c>
      <c r="J84" s="212">
        <v>4.1666666666666664E-2</v>
      </c>
      <c r="K84" s="214"/>
      <c r="L84" s="107" t="s">
        <v>44</v>
      </c>
      <c r="M84" s="221"/>
      <c r="N84" s="107" t="s">
        <v>44</v>
      </c>
      <c r="O84" s="109"/>
      <c r="P84" s="107" t="s">
        <v>44</v>
      </c>
      <c r="Q84" s="109"/>
      <c r="R84" s="107" t="s">
        <v>44</v>
      </c>
      <c r="S84" s="36">
        <f>MIN(E3:E82)</f>
        <v>3.4027777777777775E-5</v>
      </c>
    </row>
    <row r="85" spans="1:19" ht="13.8">
      <c r="A85" s="34"/>
      <c r="B85" s="112"/>
      <c r="C85" s="110"/>
      <c r="D85" s="128"/>
      <c r="E85" s="209">
        <f t="shared" si="0"/>
        <v>4.1666666666666664E-2</v>
      </c>
      <c r="F85" s="210" t="str">
        <f t="shared" si="1"/>
        <v/>
      </c>
      <c r="G85" s="211" t="str">
        <f t="shared" si="2"/>
        <v/>
      </c>
      <c r="H85" s="211" t="str">
        <f t="shared" si="3"/>
        <v/>
      </c>
      <c r="I85" s="211" t="str">
        <f t="shared" si="4"/>
        <v/>
      </c>
      <c r="J85" s="212">
        <v>4.1666666666666664E-2</v>
      </c>
      <c r="K85" s="214"/>
      <c r="L85" s="107" t="s">
        <v>44</v>
      </c>
      <c r="M85" s="221"/>
      <c r="N85" s="107" t="s">
        <v>44</v>
      </c>
      <c r="O85" s="109"/>
      <c r="P85" s="107" t="s">
        <v>44</v>
      </c>
      <c r="Q85" s="109"/>
      <c r="R85" s="107" t="s">
        <v>44</v>
      </c>
    </row>
    <row r="86" spans="1:19" ht="13.8">
      <c r="A86" s="34"/>
      <c r="B86" s="112"/>
      <c r="C86" s="110"/>
      <c r="D86" s="128"/>
      <c r="E86" s="209">
        <f t="shared" si="0"/>
        <v>4.1666666666666664E-2</v>
      </c>
      <c r="F86" s="210" t="str">
        <f t="shared" si="1"/>
        <v/>
      </c>
      <c r="G86" s="211" t="str">
        <f t="shared" si="2"/>
        <v/>
      </c>
      <c r="H86" s="211" t="str">
        <f t="shared" si="3"/>
        <v/>
      </c>
      <c r="I86" s="211" t="str">
        <f t="shared" si="4"/>
        <v/>
      </c>
      <c r="J86" s="212">
        <v>4.1666666666666664E-2</v>
      </c>
      <c r="K86" s="214"/>
      <c r="L86" s="107" t="s">
        <v>44</v>
      </c>
      <c r="M86" s="221"/>
      <c r="N86" s="107" t="s">
        <v>44</v>
      </c>
      <c r="O86" s="109"/>
      <c r="P86" s="107" t="s">
        <v>44</v>
      </c>
      <c r="Q86" s="109"/>
      <c r="R86" s="107" t="s">
        <v>44</v>
      </c>
    </row>
    <row r="87" spans="1:19" ht="13.8">
      <c r="A87" s="34"/>
      <c r="B87" s="112"/>
      <c r="C87" s="110"/>
      <c r="D87" s="128"/>
      <c r="E87" s="209">
        <f t="shared" si="0"/>
        <v>4.1666666666666664E-2</v>
      </c>
      <c r="F87" s="210" t="str">
        <f t="shared" si="1"/>
        <v/>
      </c>
      <c r="G87" s="211" t="str">
        <f t="shared" si="2"/>
        <v/>
      </c>
      <c r="H87" s="211" t="str">
        <f t="shared" si="3"/>
        <v/>
      </c>
      <c r="I87" s="211" t="str">
        <f t="shared" si="4"/>
        <v/>
      </c>
      <c r="J87" s="212">
        <v>4.1666666666666664E-2</v>
      </c>
      <c r="K87" s="214"/>
      <c r="L87" s="107" t="s">
        <v>44</v>
      </c>
      <c r="M87" s="221"/>
      <c r="N87" s="107" t="s">
        <v>44</v>
      </c>
      <c r="O87" s="109"/>
      <c r="P87" s="107" t="s">
        <v>44</v>
      </c>
      <c r="Q87" s="109"/>
      <c r="R87" s="107" t="s">
        <v>44</v>
      </c>
    </row>
    <row r="88" spans="1:19" ht="13.8">
      <c r="A88" s="34"/>
      <c r="B88" s="112"/>
      <c r="C88" s="110"/>
      <c r="D88" s="128"/>
      <c r="E88" s="209">
        <f t="shared" si="0"/>
        <v>4.1666666666666664E-2</v>
      </c>
      <c r="F88" s="210" t="str">
        <f t="shared" si="1"/>
        <v/>
      </c>
      <c r="G88" s="211" t="str">
        <f t="shared" si="2"/>
        <v/>
      </c>
      <c r="H88" s="211" t="str">
        <f t="shared" si="3"/>
        <v/>
      </c>
      <c r="I88" s="211" t="str">
        <f t="shared" si="4"/>
        <v/>
      </c>
      <c r="J88" s="212">
        <v>4.1666666666666664E-2</v>
      </c>
      <c r="K88" s="214"/>
      <c r="L88" s="107" t="s">
        <v>44</v>
      </c>
      <c r="M88" s="221"/>
      <c r="N88" s="107" t="s">
        <v>44</v>
      </c>
      <c r="O88" s="109"/>
      <c r="P88" s="107" t="s">
        <v>44</v>
      </c>
      <c r="Q88" s="109"/>
      <c r="R88" s="107" t="s">
        <v>44</v>
      </c>
    </row>
    <row r="89" spans="1:19" ht="13.8">
      <c r="A89" s="34"/>
      <c r="B89" s="112"/>
      <c r="C89" s="110"/>
      <c r="D89" s="128"/>
      <c r="E89" s="209">
        <f t="shared" si="0"/>
        <v>4.1666666666666664E-2</v>
      </c>
      <c r="F89" s="210" t="str">
        <f t="shared" si="1"/>
        <v/>
      </c>
      <c r="G89" s="211" t="str">
        <f t="shared" si="2"/>
        <v/>
      </c>
      <c r="H89" s="211" t="str">
        <f t="shared" si="3"/>
        <v/>
      </c>
      <c r="I89" s="211" t="str">
        <f t="shared" si="4"/>
        <v/>
      </c>
      <c r="J89" s="212">
        <v>4.1666666666666664E-2</v>
      </c>
      <c r="K89" s="214"/>
      <c r="L89" s="107" t="s">
        <v>44</v>
      </c>
      <c r="M89" s="221"/>
      <c r="N89" s="107" t="s">
        <v>44</v>
      </c>
      <c r="O89" s="109"/>
      <c r="P89" s="107" t="s">
        <v>44</v>
      </c>
      <c r="Q89" s="109"/>
      <c r="R89" s="107" t="s">
        <v>44</v>
      </c>
    </row>
    <row r="90" spans="1:19" ht="13.8">
      <c r="A90" s="34"/>
      <c r="B90" s="112"/>
      <c r="C90" s="110"/>
      <c r="D90" s="128"/>
      <c r="E90" s="209">
        <f t="shared" si="0"/>
        <v>4.1666666666666664E-2</v>
      </c>
      <c r="F90" s="210" t="str">
        <f t="shared" si="1"/>
        <v/>
      </c>
      <c r="G90" s="211" t="str">
        <f t="shared" si="2"/>
        <v/>
      </c>
      <c r="H90" s="211" t="str">
        <f t="shared" si="3"/>
        <v/>
      </c>
      <c r="I90" s="211" t="str">
        <f t="shared" si="4"/>
        <v/>
      </c>
      <c r="J90" s="212">
        <v>4.1666666666666664E-2</v>
      </c>
      <c r="K90" s="214"/>
      <c r="L90" s="107" t="s">
        <v>44</v>
      </c>
      <c r="M90" s="221"/>
      <c r="N90" s="107" t="s">
        <v>44</v>
      </c>
      <c r="O90" s="109"/>
      <c r="P90" s="107" t="s">
        <v>44</v>
      </c>
      <c r="Q90" s="109"/>
      <c r="R90" s="107" t="s">
        <v>44</v>
      </c>
    </row>
    <row r="91" spans="1:19" ht="13.8">
      <c r="A91" s="34"/>
      <c r="B91" s="112"/>
      <c r="C91" s="110"/>
      <c r="D91" s="128"/>
      <c r="E91" s="209">
        <f t="shared" si="0"/>
        <v>4.1666666666666664E-2</v>
      </c>
      <c r="F91" s="210" t="str">
        <f t="shared" si="1"/>
        <v/>
      </c>
      <c r="G91" s="211" t="str">
        <f t="shared" si="2"/>
        <v/>
      </c>
      <c r="H91" s="211" t="str">
        <f t="shared" si="3"/>
        <v/>
      </c>
      <c r="I91" s="211" t="str">
        <f t="shared" si="4"/>
        <v/>
      </c>
      <c r="J91" s="212">
        <v>4.1666666666666664E-2</v>
      </c>
      <c r="K91" s="214"/>
      <c r="L91" s="107" t="s">
        <v>44</v>
      </c>
      <c r="M91" s="221"/>
      <c r="N91" s="107" t="s">
        <v>44</v>
      </c>
      <c r="O91" s="109"/>
      <c r="P91" s="107" t="s">
        <v>44</v>
      </c>
      <c r="Q91" s="109"/>
      <c r="R91" s="107" t="s">
        <v>44</v>
      </c>
    </row>
    <row r="92" spans="1:19" ht="13.8">
      <c r="A92" s="29"/>
      <c r="B92" s="112"/>
      <c r="C92" s="110"/>
      <c r="D92" s="128"/>
      <c r="E92" s="209">
        <f t="shared" si="0"/>
        <v>8.3333333333333329E-2</v>
      </c>
      <c r="F92" s="210" t="str">
        <f t="shared" si="1"/>
        <v/>
      </c>
      <c r="G92" s="211" t="str">
        <f t="shared" si="2"/>
        <v/>
      </c>
      <c r="H92" s="211" t="str">
        <f t="shared" si="3"/>
        <v/>
      </c>
      <c r="I92" s="211" t="str">
        <f t="shared" si="4"/>
        <v/>
      </c>
      <c r="J92" s="212">
        <v>8.3333333333333329E-2</v>
      </c>
      <c r="K92" s="214"/>
      <c r="L92" s="107" t="s">
        <v>44</v>
      </c>
      <c r="M92" s="221"/>
      <c r="N92" s="107" t="s">
        <v>44</v>
      </c>
      <c r="O92" s="109"/>
      <c r="P92" s="107" t="s">
        <v>44</v>
      </c>
      <c r="Q92" s="109"/>
      <c r="R92" s="107" t="s">
        <v>44</v>
      </c>
    </row>
    <row r="93" spans="1:19" ht="13.8">
      <c r="A93" s="34"/>
      <c r="B93" s="112"/>
      <c r="C93" s="110"/>
      <c r="D93" s="128"/>
      <c r="E93" s="209">
        <f t="shared" si="0"/>
        <v>4.1666666666666664E-2</v>
      </c>
      <c r="F93" s="210" t="str">
        <f t="shared" si="1"/>
        <v/>
      </c>
      <c r="G93" s="211" t="str">
        <f t="shared" si="2"/>
        <v/>
      </c>
      <c r="H93" s="211" t="str">
        <f t="shared" si="3"/>
        <v/>
      </c>
      <c r="I93" s="211" t="str">
        <f t="shared" si="4"/>
        <v/>
      </c>
      <c r="J93" s="212">
        <v>4.1666666666666664E-2</v>
      </c>
      <c r="K93" s="214"/>
      <c r="L93" s="107" t="s">
        <v>44</v>
      </c>
      <c r="M93" s="221"/>
      <c r="N93" s="107" t="s">
        <v>44</v>
      </c>
      <c r="O93" s="109"/>
      <c r="P93" s="107" t="s">
        <v>44</v>
      </c>
      <c r="Q93" s="109"/>
      <c r="R93" s="107" t="s">
        <v>44</v>
      </c>
    </row>
    <row r="94" spans="1:19" ht="13.8">
      <c r="A94" s="34"/>
      <c r="B94" s="112"/>
      <c r="C94" s="110"/>
      <c r="D94" s="128"/>
      <c r="E94" s="209">
        <f t="shared" si="0"/>
        <v>4.1666666666666664E-2</v>
      </c>
      <c r="F94" s="210" t="str">
        <f t="shared" si="1"/>
        <v/>
      </c>
      <c r="G94" s="211" t="str">
        <f t="shared" si="2"/>
        <v/>
      </c>
      <c r="H94" s="211" t="str">
        <f t="shared" si="3"/>
        <v/>
      </c>
      <c r="I94" s="211" t="str">
        <f t="shared" si="4"/>
        <v/>
      </c>
      <c r="J94" s="212">
        <v>4.1666666666666664E-2</v>
      </c>
      <c r="K94" s="214"/>
      <c r="L94" s="107" t="s">
        <v>44</v>
      </c>
      <c r="M94" s="221"/>
      <c r="N94" s="107" t="s">
        <v>44</v>
      </c>
      <c r="O94" s="109"/>
      <c r="P94" s="107" t="s">
        <v>44</v>
      </c>
      <c r="Q94" s="109"/>
      <c r="R94" s="107" t="s">
        <v>44</v>
      </c>
    </row>
    <row r="95" spans="1:19" ht="13.8">
      <c r="A95" s="34"/>
      <c r="B95" s="112"/>
      <c r="C95" s="110"/>
      <c r="D95" s="128"/>
      <c r="E95" s="209">
        <f t="shared" si="0"/>
        <v>4.1666666666666664E-2</v>
      </c>
      <c r="F95" s="210" t="str">
        <f t="shared" si="1"/>
        <v/>
      </c>
      <c r="G95" s="211" t="str">
        <f t="shared" si="2"/>
        <v/>
      </c>
      <c r="H95" s="211" t="str">
        <f t="shared" si="3"/>
        <v/>
      </c>
      <c r="I95" s="211" t="str">
        <f t="shared" si="4"/>
        <v/>
      </c>
      <c r="J95" s="212">
        <v>4.1666666666666664E-2</v>
      </c>
      <c r="K95" s="214"/>
      <c r="L95" s="107" t="s">
        <v>44</v>
      </c>
      <c r="M95" s="221"/>
      <c r="N95" s="107" t="s">
        <v>44</v>
      </c>
      <c r="O95" s="109"/>
      <c r="P95" s="107" t="s">
        <v>44</v>
      </c>
      <c r="Q95" s="109"/>
      <c r="R95" s="107" t="s">
        <v>44</v>
      </c>
    </row>
    <row r="96" spans="1:19" ht="13.8">
      <c r="A96" s="34"/>
      <c r="B96" s="126"/>
      <c r="C96" s="125"/>
      <c r="D96" s="128"/>
      <c r="E96" s="209">
        <f t="shared" si="0"/>
        <v>4.1666666666666664E-2</v>
      </c>
      <c r="F96" s="210" t="str">
        <f t="shared" si="1"/>
        <v/>
      </c>
      <c r="G96" s="211" t="str">
        <f t="shared" si="2"/>
        <v/>
      </c>
      <c r="H96" s="211" t="str">
        <f t="shared" si="3"/>
        <v/>
      </c>
      <c r="I96" s="211" t="str">
        <f t="shared" si="4"/>
        <v/>
      </c>
      <c r="J96" s="212">
        <v>4.1666666666666664E-2</v>
      </c>
      <c r="K96" s="214"/>
      <c r="L96" s="107" t="s">
        <v>44</v>
      </c>
      <c r="M96" s="221"/>
      <c r="N96" s="107" t="s">
        <v>44</v>
      </c>
      <c r="O96" s="109"/>
      <c r="P96" s="107" t="s">
        <v>44</v>
      </c>
      <c r="Q96" s="109"/>
      <c r="R96" s="107" t="s">
        <v>44</v>
      </c>
    </row>
    <row r="97" spans="1:18" ht="13.8">
      <c r="A97" s="15"/>
      <c r="B97" s="112"/>
      <c r="C97" s="110"/>
      <c r="D97" s="128"/>
      <c r="E97" s="209">
        <f t="shared" si="0"/>
        <v>4.1666666666666664E-2</v>
      </c>
      <c r="F97" s="210" t="str">
        <f t="shared" si="1"/>
        <v/>
      </c>
      <c r="G97" s="211" t="str">
        <f t="shared" si="2"/>
        <v/>
      </c>
      <c r="H97" s="211" t="str">
        <f t="shared" si="3"/>
        <v/>
      </c>
      <c r="I97" s="211" t="str">
        <f t="shared" si="4"/>
        <v/>
      </c>
      <c r="J97" s="212">
        <v>4.1666666666666664E-2</v>
      </c>
      <c r="K97" s="214"/>
      <c r="L97" s="107" t="s">
        <v>44</v>
      </c>
      <c r="M97" s="221"/>
      <c r="N97" s="107" t="s">
        <v>44</v>
      </c>
      <c r="O97" s="109"/>
      <c r="P97" s="107" t="s">
        <v>44</v>
      </c>
      <c r="Q97" s="109"/>
      <c r="R97" s="107" t="s">
        <v>44</v>
      </c>
    </row>
    <row r="98" spans="1:18" ht="13.8">
      <c r="A98" s="34"/>
      <c r="B98" s="112"/>
      <c r="C98" s="110"/>
      <c r="D98" s="111"/>
      <c r="E98" s="209">
        <f t="shared" si="0"/>
        <v>4.1666666666666664E-2</v>
      </c>
      <c r="F98" s="210" t="str">
        <f t="shared" si="1"/>
        <v/>
      </c>
      <c r="G98" s="211" t="str">
        <f t="shared" si="2"/>
        <v/>
      </c>
      <c r="H98" s="211" t="str">
        <f t="shared" si="3"/>
        <v/>
      </c>
      <c r="I98" s="211" t="str">
        <f t="shared" si="4"/>
        <v/>
      </c>
      <c r="J98" s="212">
        <v>4.1666666666666664E-2</v>
      </c>
      <c r="K98" s="214"/>
      <c r="L98" s="107" t="s">
        <v>44</v>
      </c>
      <c r="M98" s="221"/>
      <c r="N98" s="107" t="s">
        <v>44</v>
      </c>
      <c r="O98" s="109"/>
      <c r="P98" s="107" t="s">
        <v>44</v>
      </c>
      <c r="Q98" s="109"/>
      <c r="R98" s="107" t="s">
        <v>44</v>
      </c>
    </row>
    <row r="99" spans="1:18" ht="13.8">
      <c r="A99" s="34"/>
      <c r="B99" s="112"/>
      <c r="C99" s="110"/>
      <c r="D99" s="111"/>
      <c r="E99" s="209">
        <f t="shared" si="0"/>
        <v>4.1666666666666664E-2</v>
      </c>
      <c r="F99" s="210" t="str">
        <f t="shared" si="1"/>
        <v/>
      </c>
      <c r="G99" s="211" t="str">
        <f t="shared" si="2"/>
        <v/>
      </c>
      <c r="H99" s="211" t="str">
        <f t="shared" si="3"/>
        <v/>
      </c>
      <c r="I99" s="211" t="str">
        <f t="shared" si="4"/>
        <v/>
      </c>
      <c r="J99" s="212">
        <v>4.1666666666666664E-2</v>
      </c>
      <c r="K99" s="214"/>
      <c r="L99" s="107" t="s">
        <v>44</v>
      </c>
      <c r="M99" s="221"/>
      <c r="N99" s="107" t="s">
        <v>44</v>
      </c>
      <c r="O99" s="109"/>
      <c r="P99" s="107" t="s">
        <v>44</v>
      </c>
      <c r="Q99" s="109"/>
      <c r="R99" s="107" t="s">
        <v>44</v>
      </c>
    </row>
    <row r="100" spans="1:18" ht="13.8">
      <c r="A100" s="34"/>
      <c r="B100" s="112"/>
      <c r="C100" s="110"/>
      <c r="D100" s="111"/>
      <c r="E100" s="209">
        <f t="shared" si="0"/>
        <v>4.1666666666666664E-2</v>
      </c>
      <c r="F100" s="210" t="str">
        <f t="shared" si="1"/>
        <v/>
      </c>
      <c r="G100" s="211" t="str">
        <f t="shared" si="2"/>
        <v/>
      </c>
      <c r="H100" s="211" t="str">
        <f t="shared" si="3"/>
        <v/>
      </c>
      <c r="I100" s="211" t="str">
        <f t="shared" si="4"/>
        <v/>
      </c>
      <c r="J100" s="212">
        <v>4.1666666666666664E-2</v>
      </c>
      <c r="K100" s="214"/>
      <c r="L100" s="107" t="s">
        <v>44</v>
      </c>
      <c r="M100" s="221"/>
      <c r="N100" s="107" t="s">
        <v>44</v>
      </c>
      <c r="O100" s="109"/>
      <c r="P100" s="107" t="s">
        <v>44</v>
      </c>
      <c r="Q100" s="109"/>
      <c r="R100" s="107" t="s">
        <v>44</v>
      </c>
    </row>
    <row r="101" spans="1:18" ht="13.8">
      <c r="A101" s="34"/>
      <c r="B101" s="112"/>
      <c r="C101" s="110"/>
      <c r="D101" s="111"/>
      <c r="E101" s="209">
        <f t="shared" si="0"/>
        <v>4.1666666666666664E-2</v>
      </c>
      <c r="F101" s="210" t="str">
        <f t="shared" si="1"/>
        <v/>
      </c>
      <c r="G101" s="211" t="str">
        <f t="shared" si="2"/>
        <v/>
      </c>
      <c r="H101" s="211" t="str">
        <f t="shared" si="3"/>
        <v/>
      </c>
      <c r="I101" s="211" t="str">
        <f t="shared" si="4"/>
        <v/>
      </c>
      <c r="J101" s="212">
        <v>4.1666666666666664E-2</v>
      </c>
      <c r="K101" s="214"/>
      <c r="L101" s="107" t="s">
        <v>44</v>
      </c>
      <c r="M101" s="221"/>
      <c r="N101" s="107" t="s">
        <v>44</v>
      </c>
      <c r="O101" s="109"/>
      <c r="P101" s="107" t="s">
        <v>44</v>
      </c>
      <c r="Q101" s="109"/>
      <c r="R101" s="107" t="s">
        <v>44</v>
      </c>
    </row>
    <row r="102" spans="1:18" ht="13.8">
      <c r="A102" s="34"/>
      <c r="B102" s="112"/>
      <c r="C102" s="110"/>
      <c r="D102" s="111"/>
      <c r="E102" s="215">
        <f t="shared" si="0"/>
        <v>4.1666666666666664E-2</v>
      </c>
      <c r="F102" s="216" t="str">
        <f t="shared" si="1"/>
        <v/>
      </c>
      <c r="G102" s="217" t="str">
        <f t="shared" si="2"/>
        <v/>
      </c>
      <c r="H102" s="217" t="str">
        <f t="shared" si="3"/>
        <v/>
      </c>
      <c r="I102" s="217" t="str">
        <f t="shared" si="4"/>
        <v/>
      </c>
      <c r="J102" s="218">
        <v>4.1666666666666664E-2</v>
      </c>
      <c r="K102" s="214"/>
      <c r="L102" s="107" t="s">
        <v>44</v>
      </c>
      <c r="M102" s="221"/>
      <c r="N102" s="107" t="s">
        <v>44</v>
      </c>
      <c r="O102" s="109"/>
      <c r="P102" s="107" t="s">
        <v>44</v>
      </c>
      <c r="Q102" s="109"/>
      <c r="R102" s="107" t="s">
        <v>44</v>
      </c>
    </row>
    <row r="103" spans="1:18" ht="13.2">
      <c r="A103" s="82"/>
      <c r="B103" s="50"/>
      <c r="D103" s="82"/>
      <c r="K103" s="214"/>
      <c r="M103" s="221"/>
      <c r="O103" s="109"/>
      <c r="Q103" s="109"/>
    </row>
    <row r="104" spans="1:18" ht="13.2">
      <c r="A104" s="82"/>
      <c r="B104" s="50"/>
      <c r="D104" s="82"/>
      <c r="K104" s="214"/>
      <c r="M104" s="109"/>
      <c r="O104" s="109"/>
      <c r="Q104" s="109"/>
    </row>
    <row r="105" spans="1:18" ht="13.2">
      <c r="A105" s="82"/>
      <c r="B105" s="50"/>
      <c r="D105" s="82"/>
      <c r="K105" s="214"/>
      <c r="M105" s="109"/>
      <c r="O105" s="109"/>
      <c r="Q105" s="109"/>
    </row>
    <row r="106" spans="1:18" ht="13.2">
      <c r="A106" s="82"/>
      <c r="B106" s="50"/>
      <c r="D106" s="82"/>
      <c r="E106" s="219"/>
      <c r="K106" s="214"/>
      <c r="M106" s="109"/>
      <c r="O106" s="109"/>
      <c r="Q106" s="109"/>
    </row>
    <row r="107" spans="1:18" ht="13.2">
      <c r="A107" s="82"/>
      <c r="B107" s="50"/>
      <c r="D107" s="82"/>
      <c r="K107" s="214"/>
      <c r="M107" s="109"/>
      <c r="O107" s="109"/>
      <c r="Q107" s="109"/>
    </row>
    <row r="108" spans="1:18" ht="13.2">
      <c r="A108" s="82"/>
      <c r="B108" s="50"/>
      <c r="D108" s="82"/>
      <c r="K108" s="214"/>
      <c r="M108" s="109"/>
      <c r="O108" s="109"/>
      <c r="Q108" s="109"/>
    </row>
    <row r="109" spans="1:18" ht="13.2">
      <c r="A109" s="82"/>
      <c r="B109" s="50"/>
      <c r="D109" s="82"/>
      <c r="K109" s="214"/>
      <c r="M109" s="109"/>
      <c r="O109" s="109"/>
      <c r="Q109" s="109"/>
    </row>
    <row r="110" spans="1:18" ht="13.2">
      <c r="A110" s="82"/>
      <c r="B110" s="50"/>
      <c r="D110" s="82"/>
      <c r="K110" s="214"/>
      <c r="M110" s="109"/>
      <c r="O110" s="109"/>
      <c r="Q110" s="109"/>
    </row>
    <row r="111" spans="1:18" ht="13.2">
      <c r="A111" s="82"/>
      <c r="B111" s="50"/>
      <c r="D111" s="82"/>
      <c r="K111" s="214"/>
      <c r="M111" s="109"/>
      <c r="O111" s="109"/>
      <c r="Q111" s="109"/>
    </row>
    <row r="112" spans="1:18" ht="13.2">
      <c r="A112" s="82"/>
      <c r="B112" s="50"/>
      <c r="D112" s="82"/>
      <c r="K112" s="214"/>
      <c r="M112" s="109"/>
      <c r="O112" s="109"/>
      <c r="Q112" s="109"/>
    </row>
    <row r="113" spans="1:17" ht="13.2">
      <c r="A113" s="82"/>
      <c r="B113" s="50"/>
      <c r="D113" s="82"/>
      <c r="K113" s="214"/>
      <c r="M113" s="109"/>
      <c r="O113" s="109"/>
      <c r="Q113" s="109"/>
    </row>
    <row r="114" spans="1:17" ht="13.2">
      <c r="A114" s="82"/>
      <c r="B114" s="50"/>
      <c r="D114" s="82"/>
      <c r="K114" s="214"/>
      <c r="M114" s="109"/>
      <c r="O114" s="109"/>
      <c r="Q114" s="109"/>
    </row>
    <row r="115" spans="1:17" ht="13.2">
      <c r="A115" s="82"/>
      <c r="B115" s="50"/>
      <c r="D115" s="82"/>
      <c r="K115" s="214"/>
      <c r="M115" s="109"/>
      <c r="O115" s="109"/>
      <c r="Q115" s="109"/>
    </row>
    <row r="116" spans="1:17" ht="13.2">
      <c r="A116" s="82"/>
      <c r="B116" s="50"/>
      <c r="D116" s="82"/>
      <c r="K116" s="214"/>
      <c r="M116" s="109"/>
      <c r="O116" s="109"/>
      <c r="Q116" s="109"/>
    </row>
    <row r="117" spans="1:17" ht="13.2">
      <c r="A117" s="82"/>
      <c r="B117" s="50"/>
      <c r="D117" s="82"/>
      <c r="K117" s="214"/>
      <c r="M117" s="109"/>
      <c r="O117" s="109"/>
      <c r="Q117" s="109"/>
    </row>
    <row r="118" spans="1:17" ht="13.2">
      <c r="A118" s="82"/>
      <c r="B118" s="50"/>
      <c r="D118" s="82"/>
      <c r="K118" s="214"/>
      <c r="M118" s="109"/>
      <c r="O118" s="109"/>
      <c r="Q118" s="109"/>
    </row>
    <row r="119" spans="1:17" ht="13.2">
      <c r="A119" s="82"/>
      <c r="B119" s="50"/>
      <c r="D119" s="82"/>
      <c r="K119" s="214"/>
      <c r="M119" s="109"/>
      <c r="O119" s="109"/>
      <c r="Q119" s="109"/>
    </row>
    <row r="120" spans="1:17" ht="13.2">
      <c r="A120" s="82"/>
      <c r="B120" s="50"/>
      <c r="D120" s="82"/>
      <c r="K120" s="214"/>
      <c r="M120" s="109"/>
      <c r="O120" s="109"/>
      <c r="Q120" s="109"/>
    </row>
    <row r="121" spans="1:17" ht="13.2">
      <c r="A121" s="82"/>
      <c r="B121" s="50"/>
      <c r="D121" s="82"/>
      <c r="K121" s="214"/>
      <c r="M121" s="109"/>
      <c r="O121" s="109"/>
      <c r="Q121" s="109"/>
    </row>
    <row r="122" spans="1:17" ht="13.2">
      <c r="A122" s="82"/>
      <c r="B122" s="50"/>
      <c r="D122" s="82"/>
      <c r="K122" s="214"/>
      <c r="M122" s="109"/>
      <c r="O122" s="109"/>
      <c r="Q122" s="109"/>
    </row>
    <row r="123" spans="1:17" ht="13.2">
      <c r="A123" s="82"/>
      <c r="B123" s="50"/>
      <c r="D123" s="82"/>
      <c r="K123" s="214"/>
      <c r="M123" s="109"/>
      <c r="O123" s="109"/>
      <c r="Q123" s="109"/>
    </row>
    <row r="124" spans="1:17" ht="13.2">
      <c r="A124" s="82"/>
      <c r="B124" s="50"/>
      <c r="D124" s="82"/>
      <c r="K124" s="214"/>
      <c r="M124" s="109"/>
      <c r="O124" s="109"/>
      <c r="Q124" s="109"/>
    </row>
    <row r="125" spans="1:17" ht="13.2">
      <c r="A125" s="82"/>
      <c r="B125" s="50"/>
      <c r="D125" s="82"/>
      <c r="K125" s="214"/>
      <c r="M125" s="109"/>
      <c r="O125" s="109"/>
      <c r="Q125" s="109"/>
    </row>
    <row r="126" spans="1:17" ht="13.2">
      <c r="A126" s="82"/>
      <c r="B126" s="50"/>
      <c r="D126" s="82"/>
      <c r="K126" s="214"/>
      <c r="M126" s="109"/>
      <c r="O126" s="109"/>
      <c r="Q126" s="109"/>
    </row>
    <row r="127" spans="1:17" ht="13.2">
      <c r="A127" s="82"/>
      <c r="B127" s="50"/>
      <c r="D127" s="82"/>
      <c r="K127" s="214"/>
      <c r="M127" s="109"/>
      <c r="O127" s="109"/>
      <c r="Q127" s="109"/>
    </row>
    <row r="128" spans="1:17" ht="13.2">
      <c r="A128" s="82"/>
      <c r="B128" s="50"/>
      <c r="D128" s="82"/>
      <c r="K128" s="214"/>
      <c r="M128" s="109"/>
      <c r="O128" s="109"/>
      <c r="Q128" s="109"/>
    </row>
    <row r="129" spans="1:17" ht="13.2">
      <c r="A129" s="82"/>
      <c r="B129" s="50"/>
      <c r="D129" s="82"/>
      <c r="K129" s="214"/>
      <c r="M129" s="109"/>
      <c r="O129" s="109"/>
      <c r="Q129" s="109"/>
    </row>
    <row r="130" spans="1:17" ht="13.2">
      <c r="A130" s="82"/>
      <c r="B130" s="50"/>
      <c r="D130" s="82"/>
      <c r="K130" s="214"/>
      <c r="M130" s="109"/>
      <c r="O130" s="109"/>
      <c r="Q130" s="109"/>
    </row>
    <row r="131" spans="1:17" ht="13.2">
      <c r="A131" s="82"/>
      <c r="B131" s="50"/>
      <c r="D131" s="82"/>
      <c r="K131" s="214"/>
      <c r="M131" s="109"/>
      <c r="O131" s="109"/>
      <c r="Q131" s="109"/>
    </row>
    <row r="132" spans="1:17" ht="13.2">
      <c r="A132" s="82"/>
      <c r="B132" s="50"/>
      <c r="D132" s="82"/>
      <c r="K132" s="214"/>
      <c r="M132" s="109"/>
      <c r="O132" s="109"/>
      <c r="Q132" s="109"/>
    </row>
    <row r="133" spans="1:17" ht="13.2">
      <c r="A133" s="82"/>
      <c r="B133" s="50"/>
      <c r="D133" s="82"/>
      <c r="K133" s="214"/>
      <c r="M133" s="109"/>
      <c r="O133" s="109"/>
      <c r="Q133" s="109"/>
    </row>
    <row r="134" spans="1:17" ht="13.2">
      <c r="A134" s="82"/>
      <c r="B134" s="50"/>
      <c r="D134" s="82"/>
      <c r="K134" s="214"/>
      <c r="M134" s="109"/>
      <c r="O134" s="109"/>
      <c r="Q134" s="109"/>
    </row>
    <row r="135" spans="1:17" ht="13.2">
      <c r="A135" s="82"/>
      <c r="B135" s="50"/>
      <c r="D135" s="82"/>
      <c r="K135" s="214"/>
      <c r="M135" s="109"/>
      <c r="O135" s="109"/>
      <c r="Q135" s="109"/>
    </row>
    <row r="136" spans="1:17" ht="13.2">
      <c r="A136" s="82"/>
      <c r="B136" s="50"/>
      <c r="D136" s="82"/>
      <c r="K136" s="214"/>
      <c r="M136" s="109"/>
      <c r="O136" s="109"/>
      <c r="Q136" s="109"/>
    </row>
    <row r="137" spans="1:17" ht="13.2">
      <c r="A137" s="82"/>
      <c r="B137" s="50"/>
      <c r="D137" s="82"/>
      <c r="K137" s="214"/>
      <c r="M137" s="109"/>
      <c r="O137" s="109"/>
      <c r="Q137" s="109"/>
    </row>
    <row r="138" spans="1:17" ht="13.2">
      <c r="A138" s="82"/>
      <c r="B138" s="50"/>
      <c r="D138" s="82"/>
      <c r="K138" s="214"/>
      <c r="M138" s="109"/>
      <c r="O138" s="109"/>
      <c r="Q138" s="109"/>
    </row>
    <row r="139" spans="1:17" ht="13.2">
      <c r="A139" s="82"/>
      <c r="B139" s="50"/>
      <c r="D139" s="82"/>
      <c r="K139" s="214"/>
      <c r="M139" s="109"/>
      <c r="O139" s="109"/>
      <c r="Q139" s="109"/>
    </row>
    <row r="140" spans="1:17" ht="13.2">
      <c r="A140" s="82"/>
      <c r="B140" s="50"/>
      <c r="D140" s="82"/>
      <c r="K140" s="214"/>
      <c r="M140" s="109"/>
      <c r="O140" s="109"/>
      <c r="Q140" s="109"/>
    </row>
    <row r="141" spans="1:17" ht="13.2">
      <c r="A141" s="82"/>
      <c r="B141" s="50"/>
      <c r="D141" s="82"/>
      <c r="K141" s="214"/>
      <c r="M141" s="109"/>
      <c r="O141" s="109"/>
      <c r="Q141" s="109"/>
    </row>
    <row r="142" spans="1:17" ht="13.2">
      <c r="A142" s="82"/>
      <c r="B142" s="50"/>
      <c r="D142" s="82"/>
      <c r="K142" s="214"/>
      <c r="M142" s="109"/>
      <c r="O142" s="109"/>
      <c r="Q142" s="109"/>
    </row>
    <row r="143" spans="1:17" ht="13.2">
      <c r="A143" s="82"/>
      <c r="B143" s="50"/>
      <c r="D143" s="82"/>
      <c r="K143" s="214"/>
      <c r="M143" s="109"/>
      <c r="O143" s="109"/>
      <c r="Q143" s="109"/>
    </row>
    <row r="144" spans="1:17" ht="13.2">
      <c r="A144" s="82"/>
      <c r="B144" s="50"/>
      <c r="D144" s="82"/>
      <c r="K144" s="214"/>
      <c r="M144" s="109"/>
      <c r="O144" s="109"/>
      <c r="Q144" s="109"/>
    </row>
    <row r="145" spans="1:17" ht="13.2">
      <c r="A145" s="82"/>
      <c r="B145" s="50"/>
      <c r="D145" s="82"/>
      <c r="K145" s="214"/>
      <c r="M145" s="109"/>
      <c r="O145" s="109"/>
      <c r="Q145" s="109"/>
    </row>
    <row r="146" spans="1:17" ht="13.2">
      <c r="A146" s="82"/>
      <c r="B146" s="50"/>
      <c r="D146" s="82"/>
      <c r="K146" s="214"/>
      <c r="M146" s="109"/>
      <c r="O146" s="109"/>
      <c r="Q146" s="109"/>
    </row>
    <row r="147" spans="1:17" ht="13.2">
      <c r="A147" s="82"/>
      <c r="B147" s="50"/>
      <c r="D147" s="82"/>
      <c r="K147" s="214"/>
      <c r="M147" s="109"/>
      <c r="O147" s="109"/>
      <c r="Q147" s="109"/>
    </row>
    <row r="148" spans="1:17" ht="13.2">
      <c r="A148" s="82"/>
      <c r="B148" s="50"/>
      <c r="D148" s="82"/>
      <c r="K148" s="214"/>
      <c r="M148" s="109"/>
      <c r="O148" s="109"/>
      <c r="Q148" s="109"/>
    </row>
    <row r="149" spans="1:17" ht="13.2">
      <c r="A149" s="82"/>
      <c r="B149" s="50"/>
      <c r="D149" s="82"/>
      <c r="K149" s="214"/>
      <c r="M149" s="109"/>
      <c r="O149" s="109"/>
      <c r="Q149" s="109"/>
    </row>
    <row r="150" spans="1:17" ht="13.2">
      <c r="A150" s="82"/>
      <c r="B150" s="50"/>
      <c r="D150" s="82"/>
      <c r="K150" s="214"/>
      <c r="M150" s="109"/>
      <c r="O150" s="109"/>
      <c r="Q150" s="109"/>
    </row>
    <row r="151" spans="1:17" ht="13.2">
      <c r="A151" s="82"/>
      <c r="B151" s="50"/>
      <c r="D151" s="82"/>
      <c r="K151" s="214"/>
      <c r="M151" s="109"/>
      <c r="O151" s="109"/>
      <c r="Q151" s="109"/>
    </row>
    <row r="152" spans="1:17" ht="13.2">
      <c r="A152" s="82"/>
      <c r="B152" s="50"/>
      <c r="D152" s="82"/>
      <c r="K152" s="214"/>
      <c r="M152" s="109"/>
      <c r="O152" s="109"/>
      <c r="Q152" s="109"/>
    </row>
    <row r="153" spans="1:17" ht="13.2">
      <c r="A153" s="82"/>
      <c r="B153" s="50"/>
      <c r="D153" s="82"/>
      <c r="K153" s="214"/>
      <c r="M153" s="109"/>
      <c r="O153" s="109"/>
      <c r="Q153" s="109"/>
    </row>
    <row r="154" spans="1:17" ht="13.2">
      <c r="A154" s="82"/>
      <c r="B154" s="50"/>
      <c r="D154" s="82"/>
      <c r="K154" s="214"/>
      <c r="M154" s="109"/>
      <c r="O154" s="109"/>
      <c r="Q154" s="109"/>
    </row>
    <row r="155" spans="1:17" ht="13.2">
      <c r="A155" s="82"/>
      <c r="B155" s="50"/>
      <c r="D155" s="82"/>
      <c r="K155" s="214"/>
      <c r="M155" s="109"/>
      <c r="O155" s="109"/>
      <c r="Q155" s="109"/>
    </row>
    <row r="156" spans="1:17" ht="13.2">
      <c r="A156" s="82"/>
      <c r="B156" s="50"/>
      <c r="D156" s="82"/>
      <c r="K156" s="214"/>
      <c r="M156" s="109"/>
      <c r="O156" s="109"/>
      <c r="Q156" s="109"/>
    </row>
    <row r="157" spans="1:17" ht="13.2">
      <c r="A157" s="82"/>
      <c r="B157" s="50"/>
      <c r="D157" s="82"/>
      <c r="K157" s="214"/>
      <c r="M157" s="109"/>
      <c r="O157" s="109"/>
      <c r="Q157" s="109"/>
    </row>
    <row r="158" spans="1:17" ht="13.2">
      <c r="A158" s="82"/>
      <c r="B158" s="50"/>
      <c r="D158" s="82"/>
      <c r="K158" s="214"/>
      <c r="M158" s="109"/>
      <c r="O158" s="109"/>
      <c r="Q158" s="109"/>
    </row>
    <row r="159" spans="1:17" ht="13.2">
      <c r="A159" s="82"/>
      <c r="B159" s="50"/>
      <c r="D159" s="82"/>
      <c r="K159" s="214"/>
      <c r="M159" s="109"/>
      <c r="O159" s="109"/>
      <c r="Q159" s="109"/>
    </row>
    <row r="160" spans="1:17" ht="13.2">
      <c r="A160" s="82"/>
      <c r="B160" s="50"/>
      <c r="D160" s="82"/>
      <c r="K160" s="214"/>
      <c r="M160" s="109"/>
      <c r="O160" s="109"/>
      <c r="Q160" s="109"/>
    </row>
    <row r="161" spans="1:17" ht="13.2">
      <c r="A161" s="82"/>
      <c r="B161" s="50"/>
      <c r="D161" s="82"/>
      <c r="K161" s="214"/>
      <c r="M161" s="109"/>
      <c r="O161" s="109"/>
      <c r="Q161" s="109"/>
    </row>
    <row r="162" spans="1:17" ht="13.2">
      <c r="A162" s="82"/>
      <c r="B162" s="50"/>
      <c r="D162" s="82"/>
      <c r="K162" s="214"/>
      <c r="M162" s="109"/>
      <c r="O162" s="109"/>
      <c r="Q162" s="109"/>
    </row>
    <row r="163" spans="1:17" ht="13.2">
      <c r="A163" s="82"/>
      <c r="B163" s="50"/>
      <c r="D163" s="82"/>
      <c r="K163" s="214"/>
      <c r="M163" s="109"/>
      <c r="O163" s="109"/>
      <c r="Q163" s="109"/>
    </row>
    <row r="164" spans="1:17" ht="13.2">
      <c r="A164" s="82"/>
      <c r="B164" s="50"/>
      <c r="D164" s="82"/>
      <c r="K164" s="214"/>
      <c r="M164" s="109"/>
      <c r="O164" s="109"/>
      <c r="Q164" s="109"/>
    </row>
    <row r="165" spans="1:17" ht="13.2">
      <c r="A165" s="82"/>
      <c r="B165" s="50"/>
      <c r="D165" s="82"/>
      <c r="K165" s="214"/>
      <c r="M165" s="109"/>
      <c r="O165" s="109"/>
      <c r="Q165" s="109"/>
    </row>
    <row r="166" spans="1:17" ht="13.2">
      <c r="A166" s="82"/>
      <c r="B166" s="50"/>
      <c r="D166" s="82"/>
      <c r="K166" s="214"/>
      <c r="M166" s="109"/>
      <c r="O166" s="109"/>
      <c r="Q166" s="109"/>
    </row>
    <row r="167" spans="1:17" ht="13.2">
      <c r="A167" s="82"/>
      <c r="B167" s="50"/>
      <c r="D167" s="82"/>
      <c r="K167" s="214"/>
      <c r="M167" s="109"/>
      <c r="O167" s="109"/>
      <c r="Q167" s="109"/>
    </row>
    <row r="168" spans="1:17" ht="13.2">
      <c r="A168" s="82"/>
      <c r="B168" s="50"/>
      <c r="D168" s="82"/>
      <c r="K168" s="214"/>
      <c r="M168" s="109"/>
      <c r="O168" s="109"/>
      <c r="Q168" s="109"/>
    </row>
    <row r="169" spans="1:17" ht="13.2">
      <c r="A169" s="82"/>
      <c r="B169" s="50"/>
      <c r="D169" s="82"/>
      <c r="K169" s="214"/>
      <c r="M169" s="109"/>
      <c r="O169" s="109"/>
      <c r="Q169" s="109"/>
    </row>
    <row r="170" spans="1:17" ht="13.2">
      <c r="A170" s="82"/>
      <c r="B170" s="50"/>
      <c r="D170" s="82"/>
      <c r="K170" s="214"/>
      <c r="M170" s="109"/>
      <c r="O170" s="109"/>
      <c r="Q170" s="109"/>
    </row>
    <row r="171" spans="1:17" ht="13.2">
      <c r="A171" s="82"/>
      <c r="B171" s="50"/>
      <c r="D171" s="82"/>
      <c r="K171" s="214"/>
      <c r="M171" s="109"/>
      <c r="O171" s="109"/>
      <c r="Q171" s="109"/>
    </row>
    <row r="172" spans="1:17" ht="13.2">
      <c r="A172" s="82"/>
      <c r="B172" s="50"/>
      <c r="D172" s="82"/>
      <c r="K172" s="214"/>
      <c r="M172" s="109"/>
      <c r="O172" s="109"/>
      <c r="Q172" s="109"/>
    </row>
    <row r="173" spans="1:17" ht="13.2">
      <c r="A173" s="82"/>
      <c r="B173" s="50"/>
      <c r="D173" s="82"/>
      <c r="K173" s="214"/>
      <c r="M173" s="109"/>
      <c r="O173" s="109"/>
      <c r="Q173" s="109"/>
    </row>
    <row r="174" spans="1:17" ht="13.2">
      <c r="A174" s="82"/>
      <c r="B174" s="50"/>
      <c r="D174" s="82"/>
      <c r="K174" s="214"/>
      <c r="M174" s="109"/>
      <c r="O174" s="109"/>
      <c r="Q174" s="109"/>
    </row>
    <row r="175" spans="1:17" ht="13.2">
      <c r="A175" s="82"/>
      <c r="B175" s="50"/>
      <c r="D175" s="82"/>
      <c r="K175" s="214"/>
      <c r="M175" s="109"/>
      <c r="O175" s="109"/>
      <c r="Q175" s="109"/>
    </row>
    <row r="176" spans="1:17" ht="13.2">
      <c r="A176" s="82"/>
      <c r="B176" s="50"/>
      <c r="D176" s="82"/>
      <c r="K176" s="214"/>
      <c r="M176" s="109"/>
      <c r="O176" s="109"/>
      <c r="Q176" s="109"/>
    </row>
    <row r="177" spans="1:17" ht="13.2">
      <c r="A177" s="82"/>
      <c r="B177" s="50"/>
      <c r="D177" s="82"/>
      <c r="K177" s="214"/>
      <c r="M177" s="109"/>
      <c r="O177" s="109"/>
      <c r="Q177" s="109"/>
    </row>
    <row r="178" spans="1:17" ht="13.2">
      <c r="A178" s="82"/>
      <c r="B178" s="50"/>
      <c r="D178" s="82"/>
      <c r="K178" s="214"/>
      <c r="M178" s="109"/>
      <c r="O178" s="109"/>
      <c r="Q178" s="109"/>
    </row>
    <row r="179" spans="1:17" ht="13.2">
      <c r="A179" s="82"/>
      <c r="B179" s="50"/>
      <c r="D179" s="82"/>
      <c r="K179" s="214"/>
      <c r="M179" s="109"/>
      <c r="O179" s="109"/>
      <c r="Q179" s="109"/>
    </row>
    <row r="180" spans="1:17" ht="13.2">
      <c r="A180" s="82"/>
      <c r="B180" s="50"/>
      <c r="D180" s="82"/>
      <c r="K180" s="214"/>
      <c r="M180" s="109"/>
      <c r="O180" s="109"/>
      <c r="Q180" s="109"/>
    </row>
    <row r="181" spans="1:17" ht="13.2">
      <c r="A181" s="82"/>
      <c r="B181" s="50"/>
      <c r="D181" s="82"/>
      <c r="K181" s="214"/>
      <c r="M181" s="109"/>
      <c r="O181" s="109"/>
      <c r="Q181" s="109"/>
    </row>
    <row r="182" spans="1:17" ht="13.2">
      <c r="A182" s="82"/>
      <c r="B182" s="50"/>
      <c r="D182" s="82"/>
      <c r="K182" s="214"/>
      <c r="M182" s="109"/>
      <c r="O182" s="109"/>
      <c r="Q182" s="109"/>
    </row>
    <row r="183" spans="1:17" ht="13.2">
      <c r="A183" s="82"/>
      <c r="B183" s="50"/>
      <c r="D183" s="82"/>
      <c r="K183" s="214"/>
      <c r="M183" s="109"/>
      <c r="O183" s="109"/>
      <c r="Q183" s="109"/>
    </row>
    <row r="184" spans="1:17" ht="13.2">
      <c r="A184" s="82"/>
      <c r="B184" s="50"/>
      <c r="D184" s="82"/>
      <c r="K184" s="214"/>
      <c r="M184" s="109"/>
      <c r="O184" s="109"/>
      <c r="Q184" s="109"/>
    </row>
    <row r="185" spans="1:17" ht="13.2">
      <c r="A185" s="82"/>
      <c r="B185" s="50"/>
      <c r="D185" s="82"/>
      <c r="K185" s="214"/>
      <c r="M185" s="109"/>
      <c r="O185" s="109"/>
      <c r="Q185" s="109"/>
    </row>
    <row r="186" spans="1:17" ht="13.2">
      <c r="A186" s="82"/>
      <c r="B186" s="50"/>
      <c r="D186" s="82"/>
      <c r="K186" s="214"/>
      <c r="M186" s="109"/>
      <c r="O186" s="109"/>
      <c r="Q186" s="109"/>
    </row>
    <row r="187" spans="1:17" ht="13.2">
      <c r="A187" s="82"/>
      <c r="B187" s="50"/>
      <c r="D187" s="82"/>
      <c r="K187" s="214"/>
      <c r="M187" s="109"/>
      <c r="O187" s="109"/>
      <c r="Q187" s="109"/>
    </row>
    <row r="188" spans="1:17" ht="13.2">
      <c r="A188" s="82"/>
      <c r="B188" s="50"/>
      <c r="D188" s="82"/>
      <c r="K188" s="214"/>
      <c r="M188" s="109"/>
      <c r="O188" s="109"/>
      <c r="Q188" s="109"/>
    </row>
    <row r="189" spans="1:17" ht="13.2">
      <c r="A189" s="82"/>
      <c r="B189" s="50"/>
      <c r="D189" s="82"/>
      <c r="K189" s="214"/>
      <c r="M189" s="109"/>
      <c r="O189" s="109"/>
      <c r="Q189" s="109"/>
    </row>
    <row r="190" spans="1:17" ht="13.2">
      <c r="A190" s="82"/>
      <c r="B190" s="50"/>
      <c r="D190" s="82"/>
      <c r="K190" s="214"/>
      <c r="M190" s="109"/>
      <c r="O190" s="109"/>
      <c r="Q190" s="109"/>
    </row>
    <row r="191" spans="1:17" ht="13.2">
      <c r="A191" s="82"/>
      <c r="B191" s="50"/>
      <c r="D191" s="82"/>
      <c r="K191" s="214"/>
      <c r="M191" s="109"/>
      <c r="O191" s="109"/>
      <c r="Q191" s="109"/>
    </row>
    <row r="192" spans="1:17" ht="13.2">
      <c r="A192" s="82"/>
      <c r="B192" s="50"/>
      <c r="D192" s="82"/>
      <c r="K192" s="214"/>
      <c r="M192" s="109"/>
      <c r="O192" s="109"/>
      <c r="Q192" s="109"/>
    </row>
    <row r="193" spans="1:17" ht="13.2">
      <c r="A193" s="82"/>
      <c r="B193" s="50"/>
      <c r="D193" s="82"/>
      <c r="K193" s="214"/>
      <c r="M193" s="109"/>
      <c r="O193" s="109"/>
      <c r="Q193" s="109"/>
    </row>
    <row r="194" spans="1:17" ht="13.2">
      <c r="A194" s="82"/>
      <c r="B194" s="50"/>
      <c r="D194" s="82"/>
      <c r="K194" s="214"/>
      <c r="M194" s="109"/>
      <c r="O194" s="109"/>
      <c r="Q194" s="109"/>
    </row>
    <row r="195" spans="1:17" ht="13.2">
      <c r="A195" s="82"/>
      <c r="B195" s="50"/>
      <c r="D195" s="82"/>
      <c r="K195" s="214"/>
      <c r="M195" s="109"/>
      <c r="O195" s="109"/>
      <c r="Q195" s="109"/>
    </row>
    <row r="196" spans="1:17" ht="13.2">
      <c r="A196" s="82"/>
      <c r="B196" s="50"/>
      <c r="D196" s="82"/>
      <c r="K196" s="214"/>
      <c r="M196" s="109"/>
      <c r="O196" s="109"/>
      <c r="Q196" s="109"/>
    </row>
    <row r="197" spans="1:17" ht="13.2">
      <c r="A197" s="82"/>
      <c r="B197" s="50"/>
      <c r="D197" s="82"/>
      <c r="K197" s="214"/>
      <c r="M197" s="109"/>
      <c r="O197" s="109"/>
      <c r="Q197" s="109"/>
    </row>
    <row r="198" spans="1:17" ht="13.2">
      <c r="A198" s="82"/>
      <c r="B198" s="50"/>
      <c r="D198" s="82"/>
      <c r="K198" s="214"/>
      <c r="M198" s="109"/>
      <c r="O198" s="109"/>
      <c r="Q198" s="109"/>
    </row>
    <row r="199" spans="1:17" ht="13.2">
      <c r="A199" s="82"/>
      <c r="B199" s="50"/>
      <c r="D199" s="82"/>
      <c r="K199" s="214"/>
      <c r="M199" s="109"/>
      <c r="O199" s="109"/>
      <c r="Q199" s="109"/>
    </row>
    <row r="200" spans="1:17" ht="13.2">
      <c r="A200" s="82"/>
      <c r="B200" s="50"/>
      <c r="D200" s="82"/>
      <c r="K200" s="214"/>
      <c r="M200" s="109"/>
      <c r="O200" s="109"/>
      <c r="Q200" s="109"/>
    </row>
    <row r="201" spans="1:17" ht="13.2">
      <c r="A201" s="82"/>
      <c r="B201" s="50"/>
      <c r="D201" s="82"/>
      <c r="K201" s="214"/>
      <c r="M201" s="109"/>
      <c r="O201" s="109"/>
      <c r="Q201" s="109"/>
    </row>
    <row r="202" spans="1:17" ht="13.2">
      <c r="A202" s="82"/>
      <c r="B202" s="50"/>
      <c r="D202" s="82"/>
      <c r="K202" s="214"/>
      <c r="M202" s="109"/>
      <c r="O202" s="109"/>
      <c r="Q202" s="109"/>
    </row>
    <row r="203" spans="1:17" ht="13.2">
      <c r="A203" s="82"/>
      <c r="B203" s="50"/>
      <c r="D203" s="82"/>
      <c r="K203" s="214"/>
      <c r="M203" s="109"/>
      <c r="O203" s="109"/>
      <c r="Q203" s="109"/>
    </row>
    <row r="204" spans="1:17" ht="13.2">
      <c r="A204" s="82"/>
      <c r="B204" s="50"/>
      <c r="D204" s="82"/>
      <c r="K204" s="214"/>
      <c r="M204" s="109"/>
      <c r="O204" s="109"/>
      <c r="Q204" s="109"/>
    </row>
    <row r="205" spans="1:17" ht="13.2">
      <c r="A205" s="82"/>
      <c r="B205" s="50"/>
      <c r="D205" s="82"/>
      <c r="K205" s="214"/>
      <c r="M205" s="109"/>
      <c r="O205" s="109"/>
      <c r="Q205" s="109"/>
    </row>
    <row r="206" spans="1:17" ht="13.2">
      <c r="A206" s="82"/>
      <c r="B206" s="50"/>
      <c r="D206" s="82"/>
      <c r="K206" s="214"/>
      <c r="M206" s="109"/>
      <c r="O206" s="109"/>
      <c r="Q206" s="109"/>
    </row>
    <row r="207" spans="1:17" ht="13.2">
      <c r="A207" s="82"/>
      <c r="B207" s="50"/>
      <c r="D207" s="82"/>
      <c r="K207" s="214"/>
      <c r="M207" s="109"/>
      <c r="O207" s="109"/>
      <c r="Q207" s="109"/>
    </row>
    <row r="208" spans="1:17" ht="13.2">
      <c r="A208" s="82"/>
      <c r="B208" s="50"/>
      <c r="D208" s="82"/>
      <c r="K208" s="214"/>
      <c r="M208" s="109"/>
      <c r="O208" s="109"/>
      <c r="Q208" s="109"/>
    </row>
    <row r="209" spans="1:17" ht="13.2">
      <c r="A209" s="82"/>
      <c r="B209" s="50"/>
      <c r="D209" s="82"/>
      <c r="K209" s="214"/>
      <c r="M209" s="109"/>
      <c r="O209" s="109"/>
      <c r="Q209" s="109"/>
    </row>
    <row r="210" spans="1:17" ht="13.2">
      <c r="A210" s="82"/>
      <c r="B210" s="50"/>
      <c r="D210" s="82"/>
      <c r="K210" s="214"/>
      <c r="M210" s="109"/>
      <c r="O210" s="109"/>
      <c r="Q210" s="109"/>
    </row>
    <row r="211" spans="1:17" ht="13.2">
      <c r="A211" s="82"/>
      <c r="B211" s="50"/>
      <c r="D211" s="82"/>
      <c r="K211" s="214"/>
      <c r="M211" s="109"/>
      <c r="O211" s="109"/>
      <c r="Q211" s="109"/>
    </row>
    <row r="212" spans="1:17" ht="13.2">
      <c r="A212" s="82"/>
      <c r="B212" s="50"/>
      <c r="D212" s="82"/>
      <c r="K212" s="214"/>
      <c r="M212" s="109"/>
      <c r="O212" s="109"/>
      <c r="Q212" s="109"/>
    </row>
    <row r="213" spans="1:17" ht="13.2">
      <c r="A213" s="82"/>
      <c r="B213" s="50"/>
      <c r="D213" s="82"/>
      <c r="K213" s="214"/>
      <c r="M213" s="109"/>
      <c r="O213" s="109"/>
      <c r="Q213" s="109"/>
    </row>
    <row r="214" spans="1:17" ht="13.2">
      <c r="A214" s="82"/>
      <c r="B214" s="50"/>
      <c r="D214" s="82"/>
      <c r="K214" s="214"/>
      <c r="M214" s="109"/>
      <c r="O214" s="109"/>
      <c r="Q214" s="109"/>
    </row>
    <row r="215" spans="1:17" ht="13.2">
      <c r="A215" s="82"/>
      <c r="B215" s="50"/>
      <c r="D215" s="82"/>
      <c r="K215" s="214"/>
      <c r="M215" s="109"/>
      <c r="O215" s="109"/>
      <c r="Q215" s="109"/>
    </row>
    <row r="216" spans="1:17" ht="13.2">
      <c r="A216" s="82"/>
      <c r="B216" s="50"/>
      <c r="D216" s="82"/>
      <c r="K216" s="214"/>
      <c r="M216" s="109"/>
      <c r="O216" s="109"/>
      <c r="Q216" s="109"/>
    </row>
    <row r="217" spans="1:17" ht="13.2">
      <c r="A217" s="82"/>
      <c r="B217" s="50"/>
      <c r="D217" s="82"/>
      <c r="K217" s="214"/>
      <c r="M217" s="109"/>
      <c r="O217" s="109"/>
      <c r="Q217" s="109"/>
    </row>
    <row r="218" spans="1:17" ht="13.2">
      <c r="A218" s="82"/>
      <c r="B218" s="50"/>
      <c r="D218" s="82"/>
      <c r="K218" s="214"/>
      <c r="M218" s="109"/>
      <c r="O218" s="109"/>
      <c r="Q218" s="109"/>
    </row>
    <row r="219" spans="1:17" ht="13.2">
      <c r="A219" s="82"/>
      <c r="B219" s="50"/>
      <c r="D219" s="82"/>
      <c r="K219" s="214"/>
      <c r="M219" s="109"/>
      <c r="O219" s="109"/>
      <c r="Q219" s="109"/>
    </row>
    <row r="220" spans="1:17" ht="13.2">
      <c r="A220" s="82"/>
      <c r="B220" s="50"/>
      <c r="D220" s="82"/>
      <c r="K220" s="214"/>
      <c r="M220" s="109"/>
      <c r="O220" s="109"/>
      <c r="Q220" s="109"/>
    </row>
    <row r="221" spans="1:17" ht="13.2">
      <c r="A221" s="82"/>
      <c r="B221" s="50"/>
      <c r="D221" s="82"/>
      <c r="K221" s="214"/>
      <c r="M221" s="109"/>
      <c r="O221" s="109"/>
      <c r="Q221" s="109"/>
    </row>
    <row r="222" spans="1:17" ht="13.2">
      <c r="A222" s="82"/>
      <c r="B222" s="50"/>
      <c r="D222" s="82"/>
      <c r="K222" s="214"/>
      <c r="M222" s="109"/>
      <c r="O222" s="109"/>
      <c r="Q222" s="109"/>
    </row>
    <row r="223" spans="1:17" ht="13.2">
      <c r="A223" s="82"/>
      <c r="B223" s="50"/>
      <c r="D223" s="82"/>
      <c r="K223" s="214"/>
      <c r="M223" s="109"/>
      <c r="O223" s="109"/>
      <c r="Q223" s="109"/>
    </row>
    <row r="224" spans="1:17" ht="13.2">
      <c r="A224" s="82"/>
      <c r="B224" s="50"/>
      <c r="D224" s="82"/>
      <c r="K224" s="214"/>
      <c r="M224" s="109"/>
      <c r="O224" s="109"/>
      <c r="Q224" s="109"/>
    </row>
    <row r="225" spans="1:17" ht="13.2">
      <c r="A225" s="82"/>
      <c r="B225" s="50"/>
      <c r="D225" s="82"/>
      <c r="K225" s="214"/>
      <c r="M225" s="109"/>
      <c r="O225" s="109"/>
      <c r="Q225" s="109"/>
    </row>
    <row r="226" spans="1:17" ht="13.2">
      <c r="A226" s="82"/>
      <c r="B226" s="50"/>
      <c r="D226" s="82"/>
      <c r="K226" s="214"/>
      <c r="M226" s="109"/>
      <c r="O226" s="109"/>
      <c r="Q226" s="109"/>
    </row>
    <row r="227" spans="1:17" ht="13.2">
      <c r="A227" s="82"/>
      <c r="B227" s="50"/>
      <c r="D227" s="82"/>
      <c r="K227" s="214"/>
      <c r="M227" s="109"/>
      <c r="O227" s="109"/>
      <c r="Q227" s="109"/>
    </row>
    <row r="228" spans="1:17" ht="13.2">
      <c r="A228" s="82"/>
      <c r="B228" s="50"/>
      <c r="D228" s="82"/>
      <c r="K228" s="214"/>
      <c r="M228" s="109"/>
      <c r="O228" s="109"/>
      <c r="Q228" s="109"/>
    </row>
    <row r="229" spans="1:17" ht="13.2">
      <c r="A229" s="82"/>
      <c r="B229" s="50"/>
      <c r="D229" s="82"/>
      <c r="K229" s="214"/>
      <c r="M229" s="109"/>
      <c r="O229" s="109"/>
      <c r="Q229" s="109"/>
    </row>
    <row r="230" spans="1:17" ht="13.2">
      <c r="A230" s="82"/>
      <c r="B230" s="50"/>
      <c r="D230" s="82"/>
      <c r="K230" s="214"/>
      <c r="M230" s="109"/>
      <c r="O230" s="109"/>
      <c r="Q230" s="109"/>
    </row>
    <row r="231" spans="1:17" ht="13.2">
      <c r="A231" s="82"/>
      <c r="B231" s="50"/>
      <c r="D231" s="82"/>
      <c r="K231" s="214"/>
      <c r="M231" s="109"/>
      <c r="O231" s="109"/>
      <c r="Q231" s="109"/>
    </row>
    <row r="232" spans="1:17" ht="13.2">
      <c r="A232" s="82"/>
      <c r="B232" s="50"/>
      <c r="D232" s="82"/>
      <c r="K232" s="214"/>
      <c r="M232" s="109"/>
      <c r="O232" s="109"/>
      <c r="Q232" s="109"/>
    </row>
    <row r="233" spans="1:17" ht="13.2">
      <c r="A233" s="82"/>
      <c r="B233" s="50"/>
      <c r="D233" s="82"/>
      <c r="K233" s="214"/>
      <c r="M233" s="109"/>
      <c r="O233" s="109"/>
      <c r="Q233" s="109"/>
    </row>
    <row r="234" spans="1:17" ht="13.2">
      <c r="A234" s="82"/>
      <c r="B234" s="50"/>
      <c r="D234" s="82"/>
      <c r="K234" s="214"/>
      <c r="M234" s="109"/>
      <c r="O234" s="109"/>
      <c r="Q234" s="109"/>
    </row>
    <row r="235" spans="1:17" ht="13.2">
      <c r="A235" s="82"/>
      <c r="B235" s="50"/>
      <c r="D235" s="82"/>
      <c r="K235" s="214"/>
      <c r="M235" s="109"/>
      <c r="O235" s="109"/>
      <c r="Q235" s="109"/>
    </row>
    <row r="236" spans="1:17" ht="13.2">
      <c r="A236" s="82"/>
      <c r="B236" s="50"/>
      <c r="D236" s="82"/>
      <c r="K236" s="214"/>
      <c r="M236" s="109"/>
      <c r="O236" s="109"/>
      <c r="Q236" s="109"/>
    </row>
    <row r="237" spans="1:17" ht="13.2">
      <c r="A237" s="82"/>
      <c r="B237" s="50"/>
      <c r="D237" s="82"/>
      <c r="K237" s="214"/>
      <c r="M237" s="109"/>
      <c r="O237" s="109"/>
      <c r="Q237" s="109"/>
    </row>
    <row r="238" spans="1:17" ht="13.2">
      <c r="A238" s="82"/>
      <c r="B238" s="50"/>
      <c r="D238" s="82"/>
      <c r="K238" s="214"/>
      <c r="M238" s="109"/>
      <c r="O238" s="109"/>
      <c r="Q238" s="109"/>
    </row>
    <row r="239" spans="1:17" ht="13.2">
      <c r="A239" s="82"/>
      <c r="B239" s="50"/>
      <c r="D239" s="82"/>
      <c r="K239" s="214"/>
      <c r="M239" s="109"/>
      <c r="O239" s="109"/>
      <c r="Q239" s="109"/>
    </row>
    <row r="240" spans="1:17" ht="13.2">
      <c r="A240" s="82"/>
      <c r="B240" s="50"/>
      <c r="D240" s="82"/>
      <c r="K240" s="214"/>
      <c r="M240" s="109"/>
      <c r="O240" s="109"/>
      <c r="Q240" s="109"/>
    </row>
    <row r="241" spans="1:17" ht="13.2">
      <c r="A241" s="82"/>
      <c r="B241" s="50"/>
      <c r="D241" s="82"/>
      <c r="K241" s="214"/>
      <c r="M241" s="109"/>
      <c r="O241" s="109"/>
      <c r="Q241" s="109"/>
    </row>
    <row r="242" spans="1:17" ht="13.2">
      <c r="A242" s="82"/>
      <c r="B242" s="50"/>
      <c r="D242" s="82"/>
      <c r="K242" s="214"/>
      <c r="M242" s="109"/>
      <c r="O242" s="109"/>
      <c r="Q242" s="109"/>
    </row>
    <row r="243" spans="1:17" ht="13.2">
      <c r="A243" s="82"/>
      <c r="B243" s="50"/>
      <c r="D243" s="82"/>
      <c r="K243" s="214"/>
      <c r="M243" s="109"/>
      <c r="O243" s="109"/>
      <c r="Q243" s="109"/>
    </row>
    <row r="244" spans="1:17" ht="13.2">
      <c r="A244" s="82"/>
      <c r="B244" s="50"/>
      <c r="D244" s="82"/>
      <c r="K244" s="214"/>
      <c r="M244" s="109"/>
      <c r="O244" s="109"/>
      <c r="Q244" s="109"/>
    </row>
    <row r="245" spans="1:17" ht="13.2">
      <c r="A245" s="82"/>
      <c r="B245" s="50"/>
      <c r="D245" s="82"/>
      <c r="K245" s="214"/>
      <c r="M245" s="109"/>
      <c r="O245" s="109"/>
      <c r="Q245" s="109"/>
    </row>
    <row r="246" spans="1:17" ht="13.2">
      <c r="A246" s="82"/>
      <c r="B246" s="50"/>
      <c r="D246" s="82"/>
      <c r="K246" s="214"/>
      <c r="M246" s="109"/>
      <c r="O246" s="109"/>
      <c r="Q246" s="109"/>
    </row>
    <row r="247" spans="1:17" ht="13.2">
      <c r="A247" s="82"/>
      <c r="B247" s="50"/>
      <c r="D247" s="82"/>
      <c r="K247" s="214"/>
      <c r="M247" s="109"/>
      <c r="O247" s="109"/>
      <c r="Q247" s="109"/>
    </row>
    <row r="248" spans="1:17" ht="13.2">
      <c r="A248" s="82"/>
      <c r="B248" s="50"/>
      <c r="D248" s="82"/>
      <c r="K248" s="214"/>
      <c r="M248" s="109"/>
      <c r="O248" s="109"/>
      <c r="Q248" s="109"/>
    </row>
    <row r="249" spans="1:17" ht="13.2">
      <c r="A249" s="82"/>
      <c r="B249" s="50"/>
      <c r="D249" s="82"/>
      <c r="K249" s="214"/>
      <c r="M249" s="109"/>
      <c r="O249" s="109"/>
      <c r="Q249" s="109"/>
    </row>
    <row r="250" spans="1:17" ht="13.2">
      <c r="A250" s="82"/>
      <c r="B250" s="50"/>
      <c r="D250" s="82"/>
      <c r="K250" s="214"/>
      <c r="M250" s="109"/>
      <c r="O250" s="109"/>
      <c r="Q250" s="109"/>
    </row>
    <row r="251" spans="1:17" ht="13.2">
      <c r="A251" s="82"/>
      <c r="B251" s="50"/>
      <c r="D251" s="82"/>
      <c r="K251" s="214"/>
      <c r="M251" s="109"/>
      <c r="O251" s="109"/>
      <c r="Q251" s="109"/>
    </row>
    <row r="252" spans="1:17" ht="13.2">
      <c r="A252" s="82"/>
      <c r="B252" s="50"/>
      <c r="D252" s="82"/>
      <c r="K252" s="214"/>
      <c r="M252" s="109"/>
      <c r="O252" s="109"/>
      <c r="Q252" s="109"/>
    </row>
    <row r="253" spans="1:17" ht="13.2">
      <c r="A253" s="82"/>
      <c r="B253" s="50"/>
      <c r="D253" s="82"/>
      <c r="K253" s="214"/>
      <c r="M253" s="109"/>
      <c r="O253" s="109"/>
      <c r="Q253" s="109"/>
    </row>
    <row r="254" spans="1:17" ht="13.2">
      <c r="A254" s="82"/>
      <c r="B254" s="50"/>
      <c r="D254" s="82"/>
      <c r="K254" s="214"/>
      <c r="M254" s="109"/>
      <c r="O254" s="109"/>
      <c r="Q254" s="109"/>
    </row>
    <row r="255" spans="1:17" ht="13.2">
      <c r="A255" s="82"/>
      <c r="B255" s="50"/>
      <c r="D255" s="82"/>
      <c r="K255" s="214"/>
      <c r="M255" s="109"/>
      <c r="O255" s="109"/>
      <c r="Q255" s="109"/>
    </row>
    <row r="256" spans="1:17" ht="13.2">
      <c r="A256" s="82"/>
      <c r="B256" s="50"/>
      <c r="D256" s="82"/>
      <c r="K256" s="214"/>
      <c r="M256" s="109"/>
      <c r="O256" s="109"/>
      <c r="Q256" s="109"/>
    </row>
    <row r="257" spans="1:17" ht="13.2">
      <c r="A257" s="82"/>
      <c r="B257" s="50"/>
      <c r="D257" s="82"/>
      <c r="K257" s="214"/>
      <c r="M257" s="109"/>
      <c r="O257" s="109"/>
      <c r="Q257" s="109"/>
    </row>
    <row r="258" spans="1:17" ht="13.2">
      <c r="A258" s="82"/>
      <c r="B258" s="50"/>
      <c r="D258" s="82"/>
      <c r="K258" s="214"/>
      <c r="M258" s="109"/>
      <c r="O258" s="109"/>
      <c r="Q258" s="109"/>
    </row>
    <row r="259" spans="1:17" ht="13.2">
      <c r="A259" s="82"/>
      <c r="B259" s="50"/>
      <c r="D259" s="82"/>
      <c r="K259" s="214"/>
      <c r="M259" s="109"/>
      <c r="O259" s="109"/>
      <c r="Q259" s="109"/>
    </row>
    <row r="260" spans="1:17" ht="13.2">
      <c r="A260" s="82"/>
      <c r="B260" s="50"/>
      <c r="D260" s="82"/>
      <c r="K260" s="214"/>
      <c r="M260" s="109"/>
      <c r="O260" s="109"/>
      <c r="Q260" s="109"/>
    </row>
    <row r="261" spans="1:17" ht="13.2">
      <c r="A261" s="82"/>
      <c r="B261" s="50"/>
      <c r="D261" s="82"/>
      <c r="K261" s="214"/>
      <c r="M261" s="109"/>
      <c r="O261" s="109"/>
      <c r="Q261" s="109"/>
    </row>
    <row r="262" spans="1:17" ht="13.2">
      <c r="A262" s="82"/>
      <c r="B262" s="50"/>
      <c r="D262" s="82"/>
      <c r="K262" s="214"/>
      <c r="M262" s="109"/>
      <c r="O262" s="109"/>
      <c r="Q262" s="109"/>
    </row>
    <row r="263" spans="1:17" ht="13.2">
      <c r="A263" s="82"/>
      <c r="B263" s="50"/>
      <c r="D263" s="82"/>
      <c r="K263" s="214"/>
      <c r="M263" s="109"/>
      <c r="O263" s="109"/>
      <c r="Q263" s="109"/>
    </row>
    <row r="264" spans="1:17" ht="13.2">
      <c r="A264" s="82"/>
      <c r="B264" s="50"/>
      <c r="D264" s="82"/>
      <c r="K264" s="214"/>
      <c r="M264" s="109"/>
      <c r="O264" s="109"/>
      <c r="Q264" s="109"/>
    </row>
    <row r="265" spans="1:17" ht="13.2">
      <c r="A265" s="82"/>
      <c r="B265" s="50"/>
      <c r="D265" s="82"/>
      <c r="K265" s="214"/>
      <c r="M265" s="109"/>
      <c r="O265" s="109"/>
      <c r="Q265" s="109"/>
    </row>
    <row r="266" spans="1:17" ht="13.2">
      <c r="A266" s="82"/>
      <c r="B266" s="50"/>
      <c r="D266" s="82"/>
      <c r="K266" s="214"/>
      <c r="M266" s="109"/>
      <c r="O266" s="109"/>
      <c r="Q266" s="109"/>
    </row>
    <row r="267" spans="1:17" ht="13.2">
      <c r="A267" s="82"/>
      <c r="B267" s="50"/>
      <c r="D267" s="82"/>
      <c r="K267" s="214"/>
      <c r="M267" s="109"/>
      <c r="O267" s="109"/>
      <c r="Q267" s="109"/>
    </row>
    <row r="268" spans="1:17" ht="13.2">
      <c r="A268" s="82"/>
      <c r="B268" s="50"/>
      <c r="D268" s="82"/>
      <c r="K268" s="214"/>
      <c r="M268" s="109"/>
      <c r="O268" s="109"/>
      <c r="Q268" s="109"/>
    </row>
    <row r="269" spans="1:17" ht="13.2">
      <c r="A269" s="82"/>
      <c r="B269" s="50"/>
      <c r="D269" s="82"/>
      <c r="K269" s="214"/>
      <c r="M269" s="109"/>
      <c r="O269" s="109"/>
      <c r="Q269" s="109"/>
    </row>
    <row r="270" spans="1:17" ht="13.2">
      <c r="A270" s="82"/>
      <c r="B270" s="50"/>
      <c r="D270" s="82"/>
      <c r="K270" s="214"/>
      <c r="M270" s="109"/>
      <c r="O270" s="109"/>
      <c r="Q270" s="109"/>
    </row>
    <row r="271" spans="1:17" ht="13.2">
      <c r="A271" s="82"/>
      <c r="B271" s="50"/>
      <c r="D271" s="82"/>
      <c r="K271" s="214"/>
      <c r="M271" s="109"/>
      <c r="O271" s="109"/>
      <c r="Q271" s="109"/>
    </row>
    <row r="272" spans="1:17" ht="13.2">
      <c r="A272" s="82"/>
      <c r="B272" s="50"/>
      <c r="D272" s="82"/>
      <c r="K272" s="214"/>
      <c r="M272" s="109"/>
      <c r="O272" s="109"/>
      <c r="Q272" s="109"/>
    </row>
    <row r="273" spans="1:17" ht="13.2">
      <c r="A273" s="82"/>
      <c r="B273" s="50"/>
      <c r="D273" s="82"/>
      <c r="K273" s="214"/>
      <c r="M273" s="109"/>
      <c r="O273" s="109"/>
      <c r="Q273" s="109"/>
    </row>
    <row r="274" spans="1:17" ht="13.2">
      <c r="A274" s="82"/>
      <c r="B274" s="50"/>
      <c r="D274" s="82"/>
      <c r="K274" s="214"/>
      <c r="M274" s="109"/>
      <c r="O274" s="109"/>
      <c r="Q274" s="109"/>
    </row>
    <row r="275" spans="1:17" ht="13.2">
      <c r="A275" s="82"/>
      <c r="B275" s="50"/>
      <c r="D275" s="82"/>
      <c r="K275" s="214"/>
      <c r="M275" s="109"/>
      <c r="O275" s="109"/>
      <c r="Q275" s="109"/>
    </row>
    <row r="276" spans="1:17" ht="13.2">
      <c r="A276" s="82"/>
      <c r="B276" s="50"/>
      <c r="D276" s="82"/>
      <c r="K276" s="214"/>
      <c r="M276" s="109"/>
      <c r="O276" s="109"/>
      <c r="Q276" s="109"/>
    </row>
    <row r="277" spans="1:17" ht="13.2">
      <c r="A277" s="82"/>
      <c r="B277" s="50"/>
      <c r="D277" s="82"/>
      <c r="K277" s="214"/>
      <c r="M277" s="109"/>
      <c r="O277" s="109"/>
      <c r="Q277" s="109"/>
    </row>
    <row r="278" spans="1:17" ht="13.2">
      <c r="A278" s="82"/>
      <c r="B278" s="50"/>
      <c r="D278" s="82"/>
      <c r="K278" s="214"/>
      <c r="M278" s="109"/>
      <c r="O278" s="109"/>
      <c r="Q278" s="109"/>
    </row>
    <row r="279" spans="1:17" ht="13.2">
      <c r="A279" s="82"/>
      <c r="B279" s="50"/>
      <c r="D279" s="82"/>
      <c r="K279" s="214"/>
      <c r="M279" s="109"/>
      <c r="O279" s="109"/>
      <c r="Q279" s="109"/>
    </row>
    <row r="280" spans="1:17" ht="13.2">
      <c r="A280" s="82"/>
      <c r="B280" s="50"/>
      <c r="D280" s="82"/>
      <c r="K280" s="214"/>
      <c r="M280" s="109"/>
      <c r="O280" s="109"/>
      <c r="Q280" s="109"/>
    </row>
    <row r="281" spans="1:17" ht="13.2">
      <c r="A281" s="82"/>
      <c r="B281" s="50"/>
      <c r="D281" s="82"/>
      <c r="K281" s="214"/>
      <c r="M281" s="109"/>
      <c r="O281" s="109"/>
      <c r="Q281" s="109"/>
    </row>
    <row r="282" spans="1:17" ht="13.2">
      <c r="A282" s="82"/>
      <c r="B282" s="50"/>
      <c r="D282" s="82"/>
      <c r="K282" s="214"/>
      <c r="M282" s="109"/>
      <c r="O282" s="109"/>
      <c r="Q282" s="109"/>
    </row>
    <row r="283" spans="1:17" ht="13.2">
      <c r="A283" s="82"/>
      <c r="B283" s="50"/>
      <c r="D283" s="82"/>
      <c r="K283" s="214"/>
      <c r="M283" s="109"/>
      <c r="O283" s="109"/>
      <c r="Q283" s="109"/>
    </row>
    <row r="284" spans="1:17" ht="13.2">
      <c r="A284" s="82"/>
      <c r="B284" s="50"/>
      <c r="D284" s="82"/>
      <c r="K284" s="214"/>
      <c r="M284" s="109"/>
      <c r="O284" s="109"/>
      <c r="Q284" s="109"/>
    </row>
    <row r="285" spans="1:17" ht="13.2">
      <c r="A285" s="82"/>
      <c r="B285" s="50"/>
      <c r="D285" s="82"/>
      <c r="K285" s="214"/>
      <c r="M285" s="109"/>
      <c r="O285" s="109"/>
      <c r="Q285" s="109"/>
    </row>
    <row r="286" spans="1:17" ht="13.2">
      <c r="A286" s="82"/>
      <c r="B286" s="50"/>
      <c r="D286" s="82"/>
      <c r="K286" s="214"/>
      <c r="M286" s="109"/>
      <c r="O286" s="109"/>
      <c r="Q286" s="109"/>
    </row>
    <row r="287" spans="1:17" ht="13.2">
      <c r="A287" s="82"/>
      <c r="B287" s="50"/>
      <c r="D287" s="82"/>
      <c r="K287" s="214"/>
      <c r="M287" s="109"/>
      <c r="O287" s="109"/>
      <c r="Q287" s="109"/>
    </row>
    <row r="288" spans="1:17" ht="13.2">
      <c r="A288" s="82"/>
      <c r="B288" s="50"/>
      <c r="D288" s="82"/>
      <c r="K288" s="214"/>
      <c r="M288" s="109"/>
      <c r="O288" s="109"/>
      <c r="Q288" s="109"/>
    </row>
    <row r="289" spans="1:17" ht="13.2">
      <c r="A289" s="82"/>
      <c r="B289" s="50"/>
      <c r="D289" s="82"/>
      <c r="K289" s="214"/>
      <c r="M289" s="109"/>
      <c r="O289" s="109"/>
      <c r="Q289" s="109"/>
    </row>
    <row r="290" spans="1:17" ht="13.2">
      <c r="A290" s="82"/>
      <c r="B290" s="50"/>
      <c r="D290" s="82"/>
      <c r="K290" s="214"/>
      <c r="M290" s="109"/>
      <c r="O290" s="109"/>
      <c r="Q290" s="109"/>
    </row>
    <row r="291" spans="1:17" ht="13.2">
      <c r="A291" s="82"/>
      <c r="B291" s="50"/>
      <c r="D291" s="82"/>
      <c r="K291" s="214"/>
      <c r="M291" s="109"/>
      <c r="O291" s="109"/>
      <c r="Q291" s="109"/>
    </row>
    <row r="292" spans="1:17" ht="13.2">
      <c r="A292" s="82"/>
      <c r="B292" s="50"/>
      <c r="D292" s="82"/>
      <c r="K292" s="214"/>
      <c r="M292" s="109"/>
      <c r="O292" s="109"/>
      <c r="Q292" s="109"/>
    </row>
    <row r="293" spans="1:17" ht="13.2">
      <c r="A293" s="82"/>
      <c r="B293" s="50"/>
      <c r="D293" s="82"/>
      <c r="K293" s="214"/>
      <c r="M293" s="109"/>
      <c r="O293" s="109"/>
      <c r="Q293" s="109"/>
    </row>
    <row r="294" spans="1:17" ht="13.2">
      <c r="A294" s="82"/>
      <c r="B294" s="50"/>
      <c r="D294" s="82"/>
      <c r="K294" s="214"/>
      <c r="M294" s="109"/>
      <c r="O294" s="109"/>
      <c r="Q294" s="109"/>
    </row>
    <row r="295" spans="1:17" ht="13.2">
      <c r="A295" s="82"/>
      <c r="B295" s="50"/>
      <c r="D295" s="82"/>
      <c r="K295" s="214"/>
      <c r="M295" s="109"/>
      <c r="O295" s="109"/>
      <c r="Q295" s="109"/>
    </row>
    <row r="296" spans="1:17" ht="13.2">
      <c r="A296" s="82"/>
      <c r="B296" s="50"/>
      <c r="D296" s="82"/>
      <c r="K296" s="214"/>
      <c r="M296" s="109"/>
      <c r="O296" s="109"/>
      <c r="Q296" s="109"/>
    </row>
    <row r="297" spans="1:17" ht="13.2">
      <c r="A297" s="82"/>
      <c r="B297" s="50"/>
      <c r="D297" s="82"/>
      <c r="K297" s="214"/>
      <c r="M297" s="109"/>
      <c r="O297" s="109"/>
      <c r="Q297" s="109"/>
    </row>
    <row r="298" spans="1:17" ht="13.2">
      <c r="A298" s="82"/>
      <c r="B298" s="50"/>
      <c r="D298" s="82"/>
      <c r="K298" s="214"/>
      <c r="M298" s="109"/>
      <c r="O298" s="109"/>
      <c r="Q298" s="109"/>
    </row>
    <row r="299" spans="1:17" ht="13.2">
      <c r="A299" s="82"/>
      <c r="B299" s="50"/>
      <c r="D299" s="82"/>
      <c r="K299" s="214"/>
      <c r="M299" s="109"/>
      <c r="O299" s="109"/>
      <c r="Q299" s="109"/>
    </row>
    <row r="300" spans="1:17" ht="13.2">
      <c r="A300" s="82"/>
      <c r="B300" s="50"/>
      <c r="D300" s="82"/>
      <c r="K300" s="214"/>
      <c r="M300" s="109"/>
      <c r="O300" s="109"/>
      <c r="Q300" s="109"/>
    </row>
    <row r="301" spans="1:17" ht="13.2">
      <c r="A301" s="82"/>
      <c r="B301" s="50"/>
      <c r="D301" s="82"/>
      <c r="K301" s="214"/>
      <c r="M301" s="109"/>
      <c r="O301" s="109"/>
      <c r="Q301" s="109"/>
    </row>
    <row r="302" spans="1:17" ht="13.2">
      <c r="A302" s="82"/>
      <c r="B302" s="50"/>
      <c r="D302" s="82"/>
      <c r="K302" s="214"/>
      <c r="M302" s="109"/>
      <c r="O302" s="109"/>
      <c r="Q302" s="109"/>
    </row>
    <row r="303" spans="1:17" ht="13.2">
      <c r="A303" s="82"/>
      <c r="B303" s="50"/>
      <c r="D303" s="82"/>
      <c r="K303" s="214"/>
      <c r="M303" s="109"/>
      <c r="O303" s="109"/>
      <c r="Q303" s="109"/>
    </row>
    <row r="304" spans="1:17" ht="13.2">
      <c r="A304" s="82"/>
      <c r="B304" s="50"/>
      <c r="D304" s="82"/>
      <c r="K304" s="214"/>
      <c r="M304" s="109"/>
      <c r="O304" s="109"/>
      <c r="Q304" s="109"/>
    </row>
    <row r="305" spans="1:17" ht="13.2">
      <c r="A305" s="82"/>
      <c r="B305" s="50"/>
      <c r="D305" s="82"/>
      <c r="K305" s="214"/>
      <c r="M305" s="109"/>
      <c r="O305" s="109"/>
      <c r="Q305" s="109"/>
    </row>
    <row r="306" spans="1:17" ht="13.2">
      <c r="A306" s="82"/>
      <c r="B306" s="50"/>
      <c r="D306" s="82"/>
      <c r="K306" s="214"/>
      <c r="M306" s="109"/>
      <c r="O306" s="109"/>
      <c r="Q306" s="109"/>
    </row>
    <row r="307" spans="1:17" ht="13.2">
      <c r="A307" s="82"/>
      <c r="B307" s="50"/>
      <c r="D307" s="82"/>
      <c r="K307" s="214"/>
      <c r="M307" s="109"/>
      <c r="O307" s="109"/>
      <c r="Q307" s="109"/>
    </row>
    <row r="308" spans="1:17" ht="13.2">
      <c r="A308" s="82"/>
      <c r="B308" s="50"/>
      <c r="D308" s="82"/>
      <c r="K308" s="214"/>
      <c r="M308" s="109"/>
      <c r="O308" s="109"/>
      <c r="Q308" s="109"/>
    </row>
    <row r="309" spans="1:17" ht="13.2">
      <c r="A309" s="82"/>
      <c r="B309" s="50"/>
      <c r="D309" s="82"/>
      <c r="K309" s="214"/>
      <c r="M309" s="109"/>
      <c r="O309" s="109"/>
      <c r="Q309" s="109"/>
    </row>
    <row r="310" spans="1:17" ht="13.2">
      <c r="A310" s="82"/>
      <c r="B310" s="50"/>
      <c r="D310" s="82"/>
      <c r="K310" s="214"/>
      <c r="M310" s="109"/>
      <c r="O310" s="109"/>
      <c r="Q310" s="109"/>
    </row>
    <row r="311" spans="1:17" ht="13.2">
      <c r="A311" s="82"/>
      <c r="B311" s="50"/>
      <c r="D311" s="82"/>
      <c r="K311" s="214"/>
      <c r="M311" s="109"/>
      <c r="O311" s="109"/>
      <c r="Q311" s="109"/>
    </row>
    <row r="312" spans="1:17" ht="13.2">
      <c r="A312" s="82"/>
      <c r="B312" s="50"/>
      <c r="D312" s="82"/>
      <c r="K312" s="214"/>
      <c r="M312" s="109"/>
      <c r="O312" s="109"/>
      <c r="Q312" s="109"/>
    </row>
    <row r="313" spans="1:17" ht="13.2">
      <c r="A313" s="82"/>
      <c r="B313" s="50"/>
      <c r="D313" s="82"/>
      <c r="K313" s="214"/>
      <c r="M313" s="109"/>
      <c r="O313" s="109"/>
      <c r="Q313" s="109"/>
    </row>
    <row r="314" spans="1:17" ht="13.2">
      <c r="A314" s="82"/>
      <c r="B314" s="50"/>
      <c r="D314" s="82"/>
      <c r="K314" s="214"/>
      <c r="M314" s="109"/>
      <c r="O314" s="109"/>
      <c r="Q314" s="109"/>
    </row>
    <row r="315" spans="1:17" ht="13.2">
      <c r="A315" s="82"/>
      <c r="B315" s="50"/>
      <c r="D315" s="82"/>
      <c r="K315" s="214"/>
      <c r="M315" s="109"/>
      <c r="O315" s="109"/>
      <c r="Q315" s="109"/>
    </row>
    <row r="316" spans="1:17" ht="13.2">
      <c r="A316" s="82"/>
      <c r="B316" s="50"/>
      <c r="D316" s="82"/>
      <c r="K316" s="214"/>
      <c r="M316" s="109"/>
      <c r="O316" s="109"/>
      <c r="Q316" s="109"/>
    </row>
    <row r="317" spans="1:17" ht="13.2">
      <c r="A317" s="82"/>
      <c r="B317" s="50"/>
      <c r="D317" s="82"/>
      <c r="K317" s="214"/>
      <c r="M317" s="109"/>
      <c r="O317" s="109"/>
      <c r="Q317" s="109"/>
    </row>
    <row r="318" spans="1:17" ht="13.2">
      <c r="A318" s="82"/>
      <c r="B318" s="50"/>
      <c r="D318" s="82"/>
      <c r="K318" s="214"/>
      <c r="M318" s="109"/>
      <c r="O318" s="109"/>
      <c r="Q318" s="109"/>
    </row>
    <row r="319" spans="1:17" ht="13.2">
      <c r="A319" s="82"/>
      <c r="B319" s="50"/>
      <c r="D319" s="82"/>
      <c r="K319" s="214"/>
      <c r="M319" s="109"/>
      <c r="O319" s="109"/>
      <c r="Q319" s="109"/>
    </row>
    <row r="320" spans="1:17" ht="13.2">
      <c r="A320" s="82"/>
      <c r="B320" s="50"/>
      <c r="D320" s="82"/>
      <c r="K320" s="214"/>
      <c r="M320" s="109"/>
      <c r="O320" s="109"/>
      <c r="Q320" s="109"/>
    </row>
    <row r="321" spans="1:17" ht="13.2">
      <c r="A321" s="82"/>
      <c r="B321" s="50"/>
      <c r="D321" s="82"/>
      <c r="K321" s="214"/>
      <c r="M321" s="109"/>
      <c r="O321" s="109"/>
      <c r="Q321" s="109"/>
    </row>
    <row r="322" spans="1:17" ht="13.2">
      <c r="A322" s="82"/>
      <c r="B322" s="50"/>
      <c r="D322" s="82"/>
      <c r="K322" s="214"/>
      <c r="M322" s="109"/>
      <c r="O322" s="109"/>
      <c r="Q322" s="109"/>
    </row>
    <row r="323" spans="1:17" ht="13.2">
      <c r="A323" s="82"/>
      <c r="B323" s="50"/>
      <c r="D323" s="82"/>
      <c r="K323" s="214"/>
      <c r="M323" s="109"/>
      <c r="O323" s="109"/>
      <c r="Q323" s="109"/>
    </row>
    <row r="324" spans="1:17" ht="13.2">
      <c r="A324" s="82"/>
      <c r="B324" s="50"/>
      <c r="D324" s="82"/>
      <c r="K324" s="214"/>
      <c r="M324" s="109"/>
      <c r="O324" s="109"/>
      <c r="Q324" s="109"/>
    </row>
    <row r="325" spans="1:17" ht="13.2">
      <c r="A325" s="82"/>
      <c r="B325" s="50"/>
      <c r="D325" s="82"/>
      <c r="K325" s="214"/>
      <c r="M325" s="109"/>
      <c r="O325" s="109"/>
      <c r="Q325" s="109"/>
    </row>
    <row r="326" spans="1:17" ht="13.2">
      <c r="A326" s="82"/>
      <c r="B326" s="50"/>
      <c r="D326" s="82"/>
      <c r="K326" s="214"/>
      <c r="M326" s="109"/>
      <c r="O326" s="109"/>
      <c r="Q326" s="109"/>
    </row>
    <row r="327" spans="1:17" ht="13.2">
      <c r="A327" s="82"/>
      <c r="B327" s="50"/>
      <c r="D327" s="82"/>
      <c r="K327" s="214"/>
      <c r="M327" s="109"/>
      <c r="O327" s="109"/>
      <c r="Q327" s="109"/>
    </row>
    <row r="328" spans="1:17" ht="13.2">
      <c r="A328" s="82"/>
      <c r="B328" s="50"/>
      <c r="D328" s="82"/>
      <c r="K328" s="214"/>
      <c r="M328" s="109"/>
      <c r="O328" s="109"/>
      <c r="Q328" s="109"/>
    </row>
    <row r="329" spans="1:17" ht="13.2">
      <c r="A329" s="82"/>
      <c r="B329" s="50"/>
      <c r="D329" s="82"/>
      <c r="K329" s="214"/>
      <c r="M329" s="109"/>
      <c r="O329" s="109"/>
      <c r="Q329" s="109"/>
    </row>
    <row r="330" spans="1:17" ht="13.2">
      <c r="A330" s="82"/>
      <c r="B330" s="50"/>
      <c r="D330" s="82"/>
      <c r="K330" s="214"/>
      <c r="M330" s="109"/>
      <c r="O330" s="109"/>
      <c r="Q330" s="109"/>
    </row>
    <row r="331" spans="1:17" ht="13.2">
      <c r="A331" s="82"/>
      <c r="B331" s="50"/>
      <c r="D331" s="82"/>
      <c r="K331" s="214"/>
      <c r="M331" s="109"/>
      <c r="O331" s="109"/>
      <c r="Q331" s="109"/>
    </row>
    <row r="332" spans="1:17" ht="13.2">
      <c r="A332" s="82"/>
      <c r="B332" s="50"/>
      <c r="D332" s="82"/>
      <c r="K332" s="214"/>
      <c r="M332" s="109"/>
      <c r="O332" s="109"/>
      <c r="Q332" s="109"/>
    </row>
    <row r="333" spans="1:17" ht="13.2">
      <c r="A333" s="82"/>
      <c r="B333" s="50"/>
      <c r="D333" s="82"/>
      <c r="K333" s="214"/>
      <c r="M333" s="109"/>
      <c r="O333" s="109"/>
      <c r="Q333" s="109"/>
    </row>
    <row r="334" spans="1:17" ht="13.2">
      <c r="A334" s="82"/>
      <c r="B334" s="50"/>
      <c r="D334" s="82"/>
      <c r="K334" s="214"/>
      <c r="M334" s="109"/>
      <c r="O334" s="109"/>
      <c r="Q334" s="109"/>
    </row>
    <row r="335" spans="1:17" ht="13.2">
      <c r="A335" s="82"/>
      <c r="B335" s="50"/>
      <c r="D335" s="82"/>
      <c r="K335" s="214"/>
      <c r="M335" s="109"/>
      <c r="O335" s="109"/>
      <c r="Q335" s="109"/>
    </row>
    <row r="336" spans="1:17" ht="13.2">
      <c r="A336" s="82"/>
      <c r="B336" s="50"/>
      <c r="D336" s="82"/>
      <c r="K336" s="214"/>
      <c r="M336" s="109"/>
      <c r="O336" s="109"/>
      <c r="Q336" s="109"/>
    </row>
    <row r="337" spans="1:17" ht="13.2">
      <c r="A337" s="82"/>
      <c r="B337" s="50"/>
      <c r="D337" s="82"/>
      <c r="K337" s="214"/>
      <c r="M337" s="109"/>
      <c r="O337" s="109"/>
      <c r="Q337" s="109"/>
    </row>
    <row r="338" spans="1:17" ht="13.2">
      <c r="A338" s="82"/>
      <c r="B338" s="50"/>
      <c r="D338" s="82"/>
      <c r="K338" s="214"/>
      <c r="M338" s="109"/>
      <c r="O338" s="109"/>
      <c r="Q338" s="109"/>
    </row>
    <row r="339" spans="1:17" ht="13.2">
      <c r="A339" s="82"/>
      <c r="B339" s="50"/>
      <c r="D339" s="82"/>
      <c r="K339" s="214"/>
      <c r="M339" s="109"/>
      <c r="O339" s="109"/>
      <c r="Q339" s="109"/>
    </row>
    <row r="340" spans="1:17" ht="13.2">
      <c r="A340" s="82"/>
      <c r="B340" s="50"/>
      <c r="D340" s="82"/>
      <c r="K340" s="214"/>
      <c r="M340" s="109"/>
      <c r="O340" s="109"/>
      <c r="Q340" s="109"/>
    </row>
    <row r="341" spans="1:17" ht="13.2">
      <c r="A341" s="82"/>
      <c r="B341" s="50"/>
      <c r="D341" s="82"/>
      <c r="K341" s="214"/>
      <c r="M341" s="109"/>
      <c r="O341" s="109"/>
      <c r="Q341" s="109"/>
    </row>
    <row r="342" spans="1:17" ht="13.2">
      <c r="A342" s="82"/>
      <c r="B342" s="50"/>
      <c r="D342" s="82"/>
      <c r="K342" s="214"/>
      <c r="M342" s="109"/>
      <c r="O342" s="109"/>
      <c r="Q342" s="109"/>
    </row>
    <row r="343" spans="1:17" ht="13.2">
      <c r="A343" s="82"/>
      <c r="B343" s="50"/>
      <c r="D343" s="82"/>
      <c r="K343" s="214"/>
      <c r="M343" s="109"/>
      <c r="O343" s="109"/>
      <c r="Q343" s="109"/>
    </row>
    <row r="344" spans="1:17" ht="13.2">
      <c r="A344" s="82"/>
      <c r="B344" s="50"/>
      <c r="D344" s="82"/>
      <c r="K344" s="214"/>
      <c r="M344" s="109"/>
      <c r="O344" s="109"/>
      <c r="Q344" s="109"/>
    </row>
    <row r="345" spans="1:17" ht="13.2">
      <c r="A345" s="82"/>
      <c r="B345" s="50"/>
      <c r="D345" s="82"/>
      <c r="K345" s="214"/>
      <c r="M345" s="109"/>
      <c r="O345" s="109"/>
      <c r="Q345" s="109"/>
    </row>
    <row r="346" spans="1:17" ht="13.2">
      <c r="A346" s="82"/>
      <c r="B346" s="50"/>
      <c r="D346" s="82"/>
      <c r="K346" s="214"/>
      <c r="M346" s="109"/>
      <c r="O346" s="109"/>
      <c r="Q346" s="109"/>
    </row>
    <row r="347" spans="1:17" ht="13.2">
      <c r="A347" s="82"/>
      <c r="B347" s="50"/>
      <c r="D347" s="82"/>
      <c r="K347" s="214"/>
      <c r="M347" s="109"/>
      <c r="O347" s="109"/>
      <c r="Q347" s="109"/>
    </row>
    <row r="348" spans="1:17" ht="13.2">
      <c r="A348" s="82"/>
      <c r="B348" s="50"/>
      <c r="D348" s="82"/>
      <c r="K348" s="214"/>
      <c r="M348" s="109"/>
      <c r="O348" s="109"/>
      <c r="Q348" s="109"/>
    </row>
    <row r="349" spans="1:17" ht="13.2">
      <c r="A349" s="82"/>
      <c r="B349" s="50"/>
      <c r="D349" s="82"/>
      <c r="K349" s="214"/>
      <c r="M349" s="109"/>
      <c r="O349" s="109"/>
      <c r="Q349" s="109"/>
    </row>
    <row r="350" spans="1:17" ht="13.2">
      <c r="A350" s="82"/>
      <c r="B350" s="50"/>
      <c r="D350" s="82"/>
      <c r="K350" s="214"/>
      <c r="M350" s="109"/>
      <c r="O350" s="109"/>
      <c r="Q350" s="109"/>
    </row>
    <row r="351" spans="1:17" ht="13.2">
      <c r="A351" s="82"/>
      <c r="B351" s="50"/>
      <c r="D351" s="82"/>
      <c r="K351" s="214"/>
      <c r="M351" s="109"/>
      <c r="O351" s="109"/>
      <c r="Q351" s="109"/>
    </row>
    <row r="352" spans="1:17" ht="13.2">
      <c r="A352" s="82"/>
      <c r="B352" s="50"/>
      <c r="D352" s="82"/>
      <c r="K352" s="214"/>
      <c r="M352" s="109"/>
      <c r="O352" s="109"/>
      <c r="Q352" s="109"/>
    </row>
    <row r="353" spans="1:17" ht="13.2">
      <c r="A353" s="82"/>
      <c r="B353" s="50"/>
      <c r="D353" s="82"/>
      <c r="K353" s="214"/>
      <c r="M353" s="109"/>
      <c r="O353" s="109"/>
      <c r="Q353" s="109"/>
    </row>
    <row r="354" spans="1:17" ht="13.2">
      <c r="A354" s="82"/>
      <c r="B354" s="50"/>
      <c r="D354" s="82"/>
      <c r="K354" s="214"/>
      <c r="M354" s="109"/>
      <c r="O354" s="109"/>
      <c r="Q354" s="109"/>
    </row>
    <row r="355" spans="1:17" ht="13.2">
      <c r="A355" s="82"/>
      <c r="B355" s="50"/>
      <c r="D355" s="82"/>
      <c r="K355" s="214"/>
      <c r="M355" s="109"/>
      <c r="O355" s="109"/>
      <c r="Q355" s="109"/>
    </row>
    <row r="356" spans="1:17" ht="13.2">
      <c r="A356" s="82"/>
      <c r="B356" s="50"/>
      <c r="D356" s="82"/>
      <c r="K356" s="214"/>
      <c r="M356" s="109"/>
      <c r="O356" s="109"/>
      <c r="Q356" s="109"/>
    </row>
    <row r="357" spans="1:17" ht="13.2">
      <c r="A357" s="82"/>
      <c r="B357" s="50"/>
      <c r="D357" s="82"/>
      <c r="K357" s="214"/>
      <c r="M357" s="109"/>
      <c r="O357" s="109"/>
      <c r="Q357" s="109"/>
    </row>
    <row r="358" spans="1:17" ht="13.2">
      <c r="A358" s="82"/>
      <c r="B358" s="50"/>
      <c r="D358" s="82"/>
      <c r="K358" s="214"/>
      <c r="M358" s="109"/>
      <c r="O358" s="109"/>
      <c r="Q358" s="109"/>
    </row>
    <row r="359" spans="1:17" ht="13.2">
      <c r="A359" s="82"/>
      <c r="B359" s="50"/>
      <c r="D359" s="82"/>
      <c r="K359" s="214"/>
      <c r="M359" s="109"/>
      <c r="O359" s="109"/>
      <c r="Q359" s="109"/>
    </row>
    <row r="360" spans="1:17" ht="13.2">
      <c r="A360" s="82"/>
      <c r="B360" s="50"/>
      <c r="D360" s="82"/>
      <c r="K360" s="214"/>
      <c r="M360" s="109"/>
      <c r="O360" s="109"/>
      <c r="Q360" s="109"/>
    </row>
    <row r="361" spans="1:17" ht="13.2">
      <c r="A361" s="82"/>
      <c r="B361" s="50"/>
      <c r="D361" s="82"/>
      <c r="K361" s="214"/>
      <c r="M361" s="109"/>
      <c r="O361" s="109"/>
      <c r="Q361" s="109"/>
    </row>
    <row r="362" spans="1:17" ht="13.2">
      <c r="A362" s="82"/>
      <c r="B362" s="50"/>
      <c r="D362" s="82"/>
      <c r="K362" s="214"/>
      <c r="M362" s="109"/>
      <c r="O362" s="109"/>
      <c r="Q362" s="109"/>
    </row>
    <row r="363" spans="1:17" ht="13.2">
      <c r="A363" s="82"/>
      <c r="B363" s="50"/>
      <c r="D363" s="82"/>
      <c r="K363" s="214"/>
      <c r="M363" s="109"/>
      <c r="O363" s="109"/>
      <c r="Q363" s="109"/>
    </row>
    <row r="364" spans="1:17" ht="13.2">
      <c r="A364" s="82"/>
      <c r="B364" s="50"/>
      <c r="D364" s="82"/>
      <c r="K364" s="214"/>
      <c r="M364" s="109"/>
      <c r="O364" s="109"/>
      <c r="Q364" s="109"/>
    </row>
    <row r="365" spans="1:17" ht="13.2">
      <c r="A365" s="82"/>
      <c r="B365" s="50"/>
      <c r="D365" s="82"/>
      <c r="K365" s="214"/>
      <c r="M365" s="109"/>
      <c r="O365" s="109"/>
      <c r="Q365" s="109"/>
    </row>
    <row r="366" spans="1:17" ht="13.2">
      <c r="A366" s="82"/>
      <c r="B366" s="50"/>
      <c r="D366" s="82"/>
      <c r="K366" s="214"/>
      <c r="M366" s="109"/>
      <c r="O366" s="109"/>
      <c r="Q366" s="109"/>
    </row>
    <row r="367" spans="1:17" ht="13.2">
      <c r="A367" s="82"/>
      <c r="B367" s="50"/>
      <c r="D367" s="82"/>
      <c r="K367" s="214"/>
      <c r="M367" s="109"/>
      <c r="O367" s="109"/>
      <c r="Q367" s="109"/>
    </row>
    <row r="368" spans="1:17" ht="13.2">
      <c r="A368" s="82"/>
      <c r="B368" s="50"/>
      <c r="D368" s="82"/>
      <c r="K368" s="214"/>
      <c r="M368" s="109"/>
      <c r="O368" s="109"/>
      <c r="Q368" s="109"/>
    </row>
    <row r="369" spans="1:17" ht="13.2">
      <c r="A369" s="82"/>
      <c r="B369" s="50"/>
      <c r="D369" s="82"/>
      <c r="K369" s="214"/>
      <c r="M369" s="109"/>
      <c r="O369" s="109"/>
      <c r="Q369" s="109"/>
    </row>
    <row r="370" spans="1:17" ht="13.2">
      <c r="A370" s="82"/>
      <c r="B370" s="50"/>
      <c r="D370" s="82"/>
      <c r="K370" s="214"/>
      <c r="M370" s="109"/>
      <c r="O370" s="109"/>
      <c r="Q370" s="109"/>
    </row>
    <row r="371" spans="1:17" ht="13.2">
      <c r="A371" s="82"/>
      <c r="B371" s="50"/>
      <c r="D371" s="82"/>
      <c r="K371" s="214"/>
      <c r="M371" s="109"/>
      <c r="O371" s="109"/>
      <c r="Q371" s="109"/>
    </row>
    <row r="372" spans="1:17" ht="13.2">
      <c r="A372" s="82"/>
      <c r="B372" s="50"/>
      <c r="D372" s="82"/>
      <c r="K372" s="214"/>
      <c r="M372" s="109"/>
      <c r="O372" s="109"/>
      <c r="Q372" s="109"/>
    </row>
    <row r="373" spans="1:17" ht="13.2">
      <c r="A373" s="82"/>
      <c r="B373" s="50"/>
      <c r="D373" s="82"/>
      <c r="K373" s="214"/>
      <c r="M373" s="109"/>
      <c r="O373" s="109"/>
      <c r="Q373" s="109"/>
    </row>
    <row r="374" spans="1:17" ht="13.2">
      <c r="A374" s="82"/>
      <c r="B374" s="50"/>
      <c r="D374" s="82"/>
      <c r="K374" s="214"/>
      <c r="M374" s="109"/>
      <c r="O374" s="109"/>
      <c r="Q374" s="109"/>
    </row>
    <row r="375" spans="1:17" ht="13.2">
      <c r="A375" s="82"/>
      <c r="B375" s="50"/>
      <c r="D375" s="82"/>
      <c r="K375" s="214"/>
      <c r="M375" s="109"/>
      <c r="O375" s="109"/>
      <c r="Q375" s="109"/>
    </row>
    <row r="376" spans="1:17" ht="13.2">
      <c r="A376" s="82"/>
      <c r="B376" s="50"/>
      <c r="D376" s="82"/>
      <c r="K376" s="214"/>
      <c r="M376" s="109"/>
      <c r="O376" s="109"/>
      <c r="Q376" s="109"/>
    </row>
    <row r="377" spans="1:17" ht="13.2">
      <c r="A377" s="82"/>
      <c r="B377" s="50"/>
      <c r="D377" s="82"/>
      <c r="K377" s="214"/>
      <c r="M377" s="109"/>
      <c r="O377" s="109"/>
      <c r="Q377" s="109"/>
    </row>
    <row r="378" spans="1:17" ht="13.2">
      <c r="A378" s="82"/>
      <c r="B378" s="50"/>
      <c r="D378" s="82"/>
      <c r="K378" s="214"/>
      <c r="M378" s="109"/>
      <c r="O378" s="109"/>
      <c r="Q378" s="109"/>
    </row>
    <row r="379" spans="1:17" ht="13.2">
      <c r="A379" s="82"/>
      <c r="B379" s="50"/>
      <c r="D379" s="82"/>
      <c r="K379" s="214"/>
      <c r="M379" s="109"/>
      <c r="O379" s="109"/>
      <c r="Q379" s="109"/>
    </row>
    <row r="380" spans="1:17" ht="13.2">
      <c r="A380" s="82"/>
      <c r="B380" s="50"/>
      <c r="D380" s="82"/>
      <c r="K380" s="214"/>
      <c r="M380" s="109"/>
      <c r="O380" s="109"/>
      <c r="Q380" s="109"/>
    </row>
    <row r="381" spans="1:17" ht="13.2">
      <c r="A381" s="82"/>
      <c r="B381" s="50"/>
      <c r="D381" s="82"/>
      <c r="K381" s="214"/>
      <c r="M381" s="109"/>
      <c r="O381" s="109"/>
      <c r="Q381" s="109"/>
    </row>
    <row r="382" spans="1:17" ht="13.2">
      <c r="A382" s="82"/>
      <c r="B382" s="50"/>
      <c r="D382" s="82"/>
      <c r="K382" s="214"/>
      <c r="M382" s="109"/>
      <c r="O382" s="109"/>
      <c r="Q382" s="109"/>
    </row>
    <row r="383" spans="1:17" ht="13.2">
      <c r="A383" s="82"/>
      <c r="B383" s="50"/>
      <c r="D383" s="82"/>
      <c r="K383" s="214"/>
      <c r="M383" s="109"/>
      <c r="O383" s="109"/>
      <c r="Q383" s="109"/>
    </row>
    <row r="384" spans="1:17" ht="13.2">
      <c r="A384" s="82"/>
      <c r="B384" s="50"/>
      <c r="D384" s="82"/>
      <c r="K384" s="214"/>
      <c r="M384" s="109"/>
      <c r="O384" s="109"/>
      <c r="Q384" s="109"/>
    </row>
    <row r="385" spans="1:17" ht="13.2">
      <c r="A385" s="82"/>
      <c r="B385" s="50"/>
      <c r="D385" s="82"/>
      <c r="K385" s="214"/>
      <c r="M385" s="109"/>
      <c r="O385" s="109"/>
      <c r="Q385" s="109"/>
    </row>
    <row r="386" spans="1:17" ht="13.2">
      <c r="A386" s="82"/>
      <c r="B386" s="50"/>
      <c r="D386" s="82"/>
      <c r="K386" s="214"/>
      <c r="M386" s="109"/>
      <c r="O386" s="109"/>
      <c r="Q386" s="109"/>
    </row>
    <row r="387" spans="1:17" ht="13.2">
      <c r="A387" s="82"/>
      <c r="B387" s="50"/>
      <c r="D387" s="82"/>
      <c r="K387" s="214"/>
      <c r="M387" s="109"/>
      <c r="O387" s="109"/>
      <c r="Q387" s="109"/>
    </row>
    <row r="388" spans="1:17" ht="13.2">
      <c r="A388" s="82"/>
      <c r="B388" s="50"/>
      <c r="D388" s="82"/>
      <c r="K388" s="214"/>
      <c r="M388" s="109"/>
      <c r="O388" s="109"/>
      <c r="Q388" s="109"/>
    </row>
    <row r="389" spans="1:17" ht="13.2">
      <c r="A389" s="82"/>
      <c r="B389" s="50"/>
      <c r="D389" s="82"/>
      <c r="K389" s="214"/>
      <c r="M389" s="109"/>
      <c r="O389" s="109"/>
      <c r="Q389" s="109"/>
    </row>
    <row r="390" spans="1:17" ht="13.2">
      <c r="A390" s="82"/>
      <c r="B390" s="50"/>
      <c r="D390" s="82"/>
      <c r="K390" s="214"/>
      <c r="M390" s="109"/>
      <c r="O390" s="109"/>
      <c r="Q390" s="109"/>
    </row>
    <row r="391" spans="1:17" ht="13.2">
      <c r="A391" s="82"/>
      <c r="B391" s="50"/>
      <c r="D391" s="82"/>
      <c r="K391" s="214"/>
      <c r="M391" s="109"/>
      <c r="O391" s="109"/>
      <c r="Q391" s="109"/>
    </row>
    <row r="392" spans="1:17" ht="13.2">
      <c r="A392" s="82"/>
      <c r="B392" s="50"/>
      <c r="D392" s="82"/>
      <c r="K392" s="214"/>
      <c r="M392" s="109"/>
      <c r="O392" s="109"/>
      <c r="Q392" s="109"/>
    </row>
    <row r="393" spans="1:17" ht="13.2">
      <c r="A393" s="82"/>
      <c r="B393" s="50"/>
      <c r="D393" s="82"/>
      <c r="K393" s="214"/>
      <c r="M393" s="109"/>
      <c r="O393" s="109"/>
      <c r="Q393" s="109"/>
    </row>
    <row r="394" spans="1:17" ht="13.2">
      <c r="A394" s="82"/>
      <c r="B394" s="50"/>
      <c r="D394" s="82"/>
      <c r="K394" s="214"/>
      <c r="M394" s="109"/>
      <c r="O394" s="109"/>
      <c r="Q394" s="109"/>
    </row>
    <row r="395" spans="1:17" ht="13.2">
      <c r="A395" s="82"/>
      <c r="B395" s="50"/>
      <c r="D395" s="82"/>
      <c r="K395" s="214"/>
      <c r="M395" s="109"/>
      <c r="O395" s="109"/>
      <c r="Q395" s="109"/>
    </row>
    <row r="396" spans="1:17" ht="13.2">
      <c r="A396" s="82"/>
      <c r="B396" s="50"/>
      <c r="D396" s="82"/>
      <c r="K396" s="214"/>
      <c r="M396" s="109"/>
      <c r="O396" s="109"/>
      <c r="Q396" s="109"/>
    </row>
    <row r="397" spans="1:17" ht="13.2">
      <c r="A397" s="82"/>
      <c r="B397" s="50"/>
      <c r="D397" s="82"/>
      <c r="K397" s="214"/>
      <c r="M397" s="109"/>
      <c r="O397" s="109"/>
      <c r="Q397" s="109"/>
    </row>
    <row r="398" spans="1:17" ht="13.2">
      <c r="A398" s="82"/>
      <c r="B398" s="50"/>
      <c r="D398" s="82"/>
      <c r="K398" s="214"/>
      <c r="M398" s="109"/>
      <c r="O398" s="109"/>
      <c r="Q398" s="109"/>
    </row>
    <row r="399" spans="1:17" ht="13.2">
      <c r="A399" s="82"/>
      <c r="B399" s="50"/>
      <c r="D399" s="82"/>
      <c r="K399" s="214"/>
      <c r="M399" s="109"/>
      <c r="O399" s="109"/>
      <c r="Q399" s="109"/>
    </row>
    <row r="400" spans="1:17" ht="13.2">
      <c r="A400" s="82"/>
      <c r="B400" s="50"/>
      <c r="D400" s="82"/>
      <c r="K400" s="214"/>
      <c r="M400" s="109"/>
      <c r="O400" s="109"/>
      <c r="Q400" s="109"/>
    </row>
    <row r="401" spans="1:17" ht="13.2">
      <c r="A401" s="82"/>
      <c r="B401" s="50"/>
      <c r="D401" s="82"/>
      <c r="K401" s="214"/>
      <c r="M401" s="109"/>
      <c r="O401" s="109"/>
      <c r="Q401" s="109"/>
    </row>
    <row r="402" spans="1:17" ht="13.2">
      <c r="A402" s="82"/>
      <c r="B402" s="50"/>
      <c r="D402" s="82"/>
      <c r="K402" s="214"/>
      <c r="M402" s="109"/>
      <c r="O402" s="109"/>
      <c r="Q402" s="109"/>
    </row>
    <row r="403" spans="1:17" ht="13.2">
      <c r="A403" s="82"/>
      <c r="B403" s="50"/>
      <c r="D403" s="82"/>
      <c r="K403" s="214"/>
      <c r="M403" s="109"/>
      <c r="O403" s="109"/>
      <c r="Q403" s="109"/>
    </row>
    <row r="404" spans="1:17" ht="13.2">
      <c r="A404" s="82"/>
      <c r="B404" s="50"/>
      <c r="D404" s="82"/>
      <c r="K404" s="214"/>
      <c r="M404" s="109"/>
      <c r="O404" s="109"/>
      <c r="Q404" s="109"/>
    </row>
    <row r="405" spans="1:17" ht="13.2">
      <c r="A405" s="82"/>
      <c r="B405" s="50"/>
      <c r="D405" s="82"/>
      <c r="K405" s="214"/>
      <c r="M405" s="109"/>
      <c r="O405" s="109"/>
      <c r="Q405" s="109"/>
    </row>
    <row r="406" spans="1:17" ht="13.2">
      <c r="A406" s="82"/>
      <c r="B406" s="50"/>
      <c r="D406" s="82"/>
      <c r="K406" s="214"/>
      <c r="M406" s="109"/>
      <c r="O406" s="109"/>
      <c r="Q406" s="109"/>
    </row>
    <row r="407" spans="1:17" ht="13.2">
      <c r="A407" s="82"/>
      <c r="B407" s="50"/>
      <c r="D407" s="82"/>
      <c r="K407" s="214"/>
      <c r="M407" s="109"/>
      <c r="O407" s="109"/>
      <c r="Q407" s="109"/>
    </row>
    <row r="408" spans="1:17" ht="13.2">
      <c r="A408" s="82"/>
      <c r="B408" s="50"/>
      <c r="D408" s="82"/>
      <c r="K408" s="214"/>
      <c r="M408" s="109"/>
      <c r="O408" s="109"/>
      <c r="Q408" s="109"/>
    </row>
    <row r="409" spans="1:17" ht="13.2">
      <c r="A409" s="82"/>
      <c r="B409" s="50"/>
      <c r="D409" s="82"/>
      <c r="K409" s="214"/>
      <c r="M409" s="109"/>
      <c r="O409" s="109"/>
      <c r="Q409" s="109"/>
    </row>
    <row r="410" spans="1:17" ht="13.2">
      <c r="A410" s="82"/>
      <c r="B410" s="50"/>
      <c r="D410" s="82"/>
      <c r="K410" s="214"/>
      <c r="M410" s="109"/>
      <c r="O410" s="109"/>
      <c r="Q410" s="109"/>
    </row>
    <row r="411" spans="1:17" ht="13.2">
      <c r="A411" s="82"/>
      <c r="B411" s="50"/>
      <c r="D411" s="82"/>
      <c r="K411" s="214"/>
      <c r="M411" s="109"/>
      <c r="O411" s="109"/>
      <c r="Q411" s="109"/>
    </row>
    <row r="412" spans="1:17" ht="13.2">
      <c r="A412" s="82"/>
      <c r="B412" s="50"/>
      <c r="D412" s="82"/>
      <c r="K412" s="214"/>
      <c r="M412" s="109"/>
      <c r="O412" s="109"/>
      <c r="Q412" s="109"/>
    </row>
    <row r="413" spans="1:17" ht="13.2">
      <c r="A413" s="82"/>
      <c r="B413" s="50"/>
      <c r="D413" s="82"/>
      <c r="K413" s="214"/>
      <c r="M413" s="109"/>
      <c r="O413" s="109"/>
      <c r="Q413" s="109"/>
    </row>
    <row r="414" spans="1:17" ht="13.2">
      <c r="A414" s="82"/>
      <c r="B414" s="50"/>
      <c r="D414" s="82"/>
      <c r="K414" s="214"/>
      <c r="M414" s="109"/>
      <c r="O414" s="109"/>
      <c r="Q414" s="109"/>
    </row>
    <row r="415" spans="1:17" ht="13.2">
      <c r="A415" s="82"/>
      <c r="B415" s="50"/>
      <c r="D415" s="82"/>
      <c r="K415" s="214"/>
      <c r="M415" s="109"/>
      <c r="O415" s="109"/>
      <c r="Q415" s="109"/>
    </row>
    <row r="416" spans="1:17" ht="13.2">
      <c r="A416" s="82"/>
      <c r="B416" s="50"/>
      <c r="D416" s="82"/>
      <c r="K416" s="214"/>
      <c r="M416" s="109"/>
      <c r="O416" s="109"/>
      <c r="Q416" s="109"/>
    </row>
    <row r="417" spans="1:17" ht="13.2">
      <c r="A417" s="82"/>
      <c r="B417" s="50"/>
      <c r="D417" s="82"/>
      <c r="K417" s="214"/>
      <c r="M417" s="109"/>
      <c r="O417" s="109"/>
      <c r="Q417" s="109"/>
    </row>
    <row r="418" spans="1:17" ht="13.2">
      <c r="A418" s="82"/>
      <c r="B418" s="50"/>
      <c r="D418" s="82"/>
      <c r="K418" s="214"/>
      <c r="M418" s="109"/>
      <c r="O418" s="109"/>
      <c r="Q418" s="109"/>
    </row>
    <row r="419" spans="1:17" ht="13.2">
      <c r="A419" s="82"/>
      <c r="B419" s="50"/>
      <c r="D419" s="82"/>
      <c r="K419" s="214"/>
      <c r="M419" s="109"/>
      <c r="O419" s="109"/>
      <c r="Q419" s="109"/>
    </row>
    <row r="420" spans="1:17" ht="13.2">
      <c r="A420" s="82"/>
      <c r="B420" s="50"/>
      <c r="D420" s="82"/>
      <c r="K420" s="214"/>
      <c r="M420" s="109"/>
      <c r="O420" s="109"/>
      <c r="Q420" s="109"/>
    </row>
    <row r="421" spans="1:17" ht="13.2">
      <c r="A421" s="82"/>
      <c r="B421" s="50"/>
      <c r="D421" s="82"/>
      <c r="K421" s="214"/>
      <c r="M421" s="109"/>
      <c r="O421" s="109"/>
      <c r="Q421" s="109"/>
    </row>
    <row r="422" spans="1:17" ht="13.2">
      <c r="A422" s="82"/>
      <c r="B422" s="50"/>
      <c r="D422" s="82"/>
      <c r="K422" s="214"/>
      <c r="M422" s="109"/>
      <c r="O422" s="109"/>
      <c r="Q422" s="109"/>
    </row>
    <row r="423" spans="1:17" ht="13.2">
      <c r="A423" s="82"/>
      <c r="B423" s="50"/>
      <c r="D423" s="82"/>
      <c r="K423" s="214"/>
      <c r="M423" s="109"/>
      <c r="O423" s="109"/>
      <c r="Q423" s="109"/>
    </row>
    <row r="424" spans="1:17" ht="13.2">
      <c r="A424" s="82"/>
      <c r="B424" s="50"/>
      <c r="D424" s="82"/>
      <c r="K424" s="214"/>
      <c r="M424" s="109"/>
      <c r="O424" s="109"/>
      <c r="Q424" s="109"/>
    </row>
    <row r="425" spans="1:17" ht="13.2">
      <c r="A425" s="82"/>
      <c r="B425" s="50"/>
      <c r="D425" s="82"/>
      <c r="K425" s="214"/>
      <c r="M425" s="109"/>
      <c r="O425" s="109"/>
      <c r="Q425" s="109"/>
    </row>
    <row r="426" spans="1:17" ht="13.2">
      <c r="A426" s="82"/>
      <c r="B426" s="50"/>
      <c r="D426" s="82"/>
      <c r="K426" s="214"/>
      <c r="M426" s="109"/>
      <c r="O426" s="109"/>
      <c r="Q426" s="109"/>
    </row>
    <row r="427" spans="1:17" ht="13.2">
      <c r="A427" s="82"/>
      <c r="B427" s="50"/>
      <c r="D427" s="82"/>
      <c r="K427" s="214"/>
      <c r="M427" s="109"/>
      <c r="O427" s="109"/>
      <c r="Q427" s="109"/>
    </row>
    <row r="428" spans="1:17" ht="13.2">
      <c r="A428" s="82"/>
      <c r="B428" s="50"/>
      <c r="D428" s="82"/>
      <c r="K428" s="214"/>
      <c r="M428" s="109"/>
      <c r="O428" s="109"/>
      <c r="Q428" s="109"/>
    </row>
    <row r="429" spans="1:17" ht="13.2">
      <c r="A429" s="82"/>
      <c r="B429" s="50"/>
      <c r="D429" s="82"/>
      <c r="K429" s="214"/>
      <c r="M429" s="109"/>
      <c r="O429" s="109"/>
      <c r="Q429" s="109"/>
    </row>
    <row r="430" spans="1:17" ht="13.2">
      <c r="A430" s="82"/>
      <c r="B430" s="50"/>
      <c r="D430" s="82"/>
      <c r="K430" s="214"/>
      <c r="M430" s="109"/>
      <c r="O430" s="109"/>
      <c r="Q430" s="109"/>
    </row>
    <row r="431" spans="1:17" ht="13.2">
      <c r="A431" s="82"/>
      <c r="B431" s="50"/>
      <c r="D431" s="82"/>
      <c r="K431" s="214"/>
      <c r="M431" s="109"/>
      <c r="O431" s="109"/>
      <c r="Q431" s="109"/>
    </row>
    <row r="432" spans="1:17" ht="13.2">
      <c r="A432" s="82"/>
      <c r="B432" s="50"/>
      <c r="D432" s="82"/>
      <c r="K432" s="214"/>
      <c r="M432" s="109"/>
      <c r="O432" s="109"/>
      <c r="Q432" s="109"/>
    </row>
    <row r="433" spans="1:17" ht="13.2">
      <c r="A433" s="82"/>
      <c r="B433" s="50"/>
      <c r="D433" s="82"/>
      <c r="K433" s="214"/>
      <c r="M433" s="109"/>
      <c r="O433" s="109"/>
      <c r="Q433" s="109"/>
    </row>
    <row r="434" spans="1:17" ht="13.2">
      <c r="A434" s="82"/>
      <c r="B434" s="50"/>
      <c r="D434" s="82"/>
      <c r="K434" s="214"/>
      <c r="M434" s="109"/>
      <c r="O434" s="109"/>
      <c r="Q434" s="109"/>
    </row>
    <row r="435" spans="1:17" ht="13.2">
      <c r="A435" s="82"/>
      <c r="B435" s="50"/>
      <c r="D435" s="82"/>
      <c r="K435" s="214"/>
      <c r="M435" s="109"/>
      <c r="O435" s="109"/>
      <c r="Q435" s="109"/>
    </row>
    <row r="436" spans="1:17" ht="13.2">
      <c r="A436" s="82"/>
      <c r="B436" s="50"/>
      <c r="D436" s="82"/>
      <c r="K436" s="214"/>
      <c r="M436" s="109"/>
      <c r="O436" s="109"/>
      <c r="Q436" s="109"/>
    </row>
    <row r="437" spans="1:17" ht="13.2">
      <c r="A437" s="82"/>
      <c r="B437" s="50"/>
      <c r="D437" s="82"/>
      <c r="K437" s="214"/>
      <c r="M437" s="109"/>
      <c r="O437" s="109"/>
      <c r="Q437" s="109"/>
    </row>
    <row r="438" spans="1:17" ht="13.2">
      <c r="A438" s="82"/>
      <c r="B438" s="50"/>
      <c r="D438" s="82"/>
      <c r="K438" s="214"/>
      <c r="M438" s="109"/>
      <c r="O438" s="109"/>
      <c r="Q438" s="109"/>
    </row>
    <row r="439" spans="1:17" ht="13.2">
      <c r="A439" s="82"/>
      <c r="B439" s="50"/>
      <c r="D439" s="82"/>
      <c r="K439" s="214"/>
      <c r="M439" s="109"/>
      <c r="O439" s="109"/>
      <c r="Q439" s="109"/>
    </row>
    <row r="440" spans="1:17" ht="13.2">
      <c r="A440" s="82"/>
      <c r="B440" s="50"/>
      <c r="D440" s="82"/>
      <c r="K440" s="214"/>
      <c r="M440" s="109"/>
      <c r="O440" s="109"/>
      <c r="Q440" s="109"/>
    </row>
    <row r="441" spans="1:17" ht="13.2">
      <c r="A441" s="82"/>
      <c r="B441" s="50"/>
      <c r="D441" s="82"/>
      <c r="K441" s="214"/>
      <c r="M441" s="109"/>
      <c r="O441" s="109"/>
      <c r="Q441" s="109"/>
    </row>
    <row r="442" spans="1:17" ht="13.2">
      <c r="A442" s="82"/>
      <c r="B442" s="50"/>
      <c r="D442" s="82"/>
      <c r="K442" s="214"/>
      <c r="M442" s="109"/>
      <c r="O442" s="109"/>
      <c r="Q442" s="109"/>
    </row>
    <row r="443" spans="1:17" ht="13.2">
      <c r="A443" s="82"/>
      <c r="B443" s="50"/>
      <c r="D443" s="82"/>
      <c r="K443" s="214"/>
      <c r="M443" s="109"/>
      <c r="O443" s="109"/>
      <c r="Q443" s="109"/>
    </row>
    <row r="444" spans="1:17" ht="13.2">
      <c r="A444" s="82"/>
      <c r="B444" s="50"/>
      <c r="D444" s="82"/>
      <c r="K444" s="214"/>
      <c r="M444" s="109"/>
      <c r="O444" s="109"/>
      <c r="Q444" s="109"/>
    </row>
    <row r="445" spans="1:17" ht="13.2">
      <c r="A445" s="82"/>
      <c r="B445" s="50"/>
      <c r="D445" s="82"/>
      <c r="K445" s="214"/>
      <c r="M445" s="109"/>
      <c r="O445" s="109"/>
      <c r="Q445" s="109"/>
    </row>
    <row r="446" spans="1:17" ht="13.2">
      <c r="A446" s="82"/>
      <c r="B446" s="50"/>
      <c r="D446" s="82"/>
      <c r="K446" s="214"/>
      <c r="M446" s="109"/>
      <c r="O446" s="109"/>
      <c r="Q446" s="109"/>
    </row>
    <row r="447" spans="1:17" ht="13.2">
      <c r="A447" s="82"/>
      <c r="B447" s="50"/>
      <c r="D447" s="82"/>
      <c r="K447" s="214"/>
      <c r="M447" s="109"/>
      <c r="O447" s="109"/>
      <c r="Q447" s="109"/>
    </row>
    <row r="448" spans="1:17" ht="13.2">
      <c r="A448" s="82"/>
      <c r="B448" s="50"/>
      <c r="D448" s="82"/>
      <c r="K448" s="214"/>
      <c r="M448" s="109"/>
      <c r="O448" s="109"/>
      <c r="Q448" s="109"/>
    </row>
    <row r="449" spans="1:17" ht="13.2">
      <c r="A449" s="82"/>
      <c r="B449" s="50"/>
      <c r="D449" s="82"/>
      <c r="K449" s="214"/>
      <c r="M449" s="109"/>
      <c r="O449" s="109"/>
      <c r="Q449" s="109"/>
    </row>
    <row r="450" spans="1:17" ht="13.2">
      <c r="A450" s="82"/>
      <c r="B450" s="50"/>
      <c r="D450" s="82"/>
      <c r="K450" s="214"/>
      <c r="M450" s="109"/>
      <c r="O450" s="109"/>
      <c r="Q450" s="109"/>
    </row>
    <row r="451" spans="1:17" ht="13.2">
      <c r="A451" s="82"/>
      <c r="B451" s="50"/>
      <c r="D451" s="82"/>
      <c r="K451" s="214"/>
      <c r="M451" s="109"/>
      <c r="O451" s="109"/>
      <c r="Q451" s="109"/>
    </row>
    <row r="452" spans="1:17" ht="13.2">
      <c r="A452" s="82"/>
      <c r="B452" s="50"/>
      <c r="D452" s="82"/>
      <c r="K452" s="214"/>
      <c r="M452" s="109"/>
      <c r="O452" s="109"/>
      <c r="Q452" s="109"/>
    </row>
    <row r="453" spans="1:17" ht="13.2">
      <c r="A453" s="82"/>
      <c r="B453" s="50"/>
      <c r="D453" s="82"/>
      <c r="K453" s="214"/>
      <c r="M453" s="109"/>
      <c r="O453" s="109"/>
      <c r="Q453" s="109"/>
    </row>
    <row r="454" spans="1:17" ht="13.2">
      <c r="A454" s="82"/>
      <c r="B454" s="50"/>
      <c r="D454" s="82"/>
      <c r="K454" s="214"/>
      <c r="M454" s="109"/>
      <c r="O454" s="109"/>
      <c r="Q454" s="109"/>
    </row>
    <row r="455" spans="1:17" ht="13.2">
      <c r="A455" s="82"/>
      <c r="B455" s="50"/>
      <c r="D455" s="82"/>
      <c r="K455" s="214"/>
      <c r="M455" s="109"/>
      <c r="O455" s="109"/>
      <c r="Q455" s="109"/>
    </row>
    <row r="456" spans="1:17" ht="13.2">
      <c r="A456" s="82"/>
      <c r="B456" s="50"/>
      <c r="D456" s="82"/>
      <c r="K456" s="214"/>
      <c r="M456" s="109"/>
      <c r="O456" s="109"/>
      <c r="Q456" s="109"/>
    </row>
    <row r="457" spans="1:17" ht="13.2">
      <c r="A457" s="82"/>
      <c r="B457" s="50"/>
      <c r="D457" s="82"/>
      <c r="K457" s="214"/>
      <c r="M457" s="109"/>
      <c r="O457" s="109"/>
      <c r="Q457" s="109"/>
    </row>
    <row r="458" spans="1:17" ht="13.2">
      <c r="A458" s="82"/>
      <c r="B458" s="50"/>
      <c r="D458" s="82"/>
      <c r="K458" s="214"/>
      <c r="M458" s="109"/>
      <c r="O458" s="109"/>
      <c r="Q458" s="109"/>
    </row>
    <row r="459" spans="1:17" ht="13.2">
      <c r="A459" s="82"/>
      <c r="B459" s="50"/>
      <c r="D459" s="82"/>
      <c r="K459" s="214"/>
      <c r="M459" s="109"/>
      <c r="O459" s="109"/>
      <c r="Q459" s="109"/>
    </row>
    <row r="460" spans="1:17" ht="13.2">
      <c r="A460" s="82"/>
      <c r="B460" s="50"/>
      <c r="D460" s="82"/>
      <c r="K460" s="214"/>
      <c r="M460" s="109"/>
      <c r="O460" s="109"/>
      <c r="Q460" s="109"/>
    </row>
    <row r="461" spans="1:17" ht="13.2">
      <c r="A461" s="82"/>
      <c r="B461" s="50"/>
      <c r="D461" s="82"/>
      <c r="K461" s="214"/>
      <c r="M461" s="109"/>
      <c r="O461" s="109"/>
      <c r="Q461" s="109"/>
    </row>
    <row r="462" spans="1:17" ht="13.2">
      <c r="A462" s="82"/>
      <c r="B462" s="50"/>
      <c r="D462" s="82"/>
      <c r="K462" s="214"/>
      <c r="M462" s="109"/>
      <c r="O462" s="109"/>
      <c r="Q462" s="109"/>
    </row>
    <row r="463" spans="1:17" ht="13.2">
      <c r="A463" s="82"/>
      <c r="B463" s="50"/>
      <c r="D463" s="82"/>
      <c r="K463" s="214"/>
      <c r="M463" s="109"/>
      <c r="O463" s="109"/>
      <c r="Q463" s="109"/>
    </row>
    <row r="464" spans="1:17" ht="13.2">
      <c r="A464" s="82"/>
      <c r="B464" s="50"/>
      <c r="D464" s="82"/>
      <c r="K464" s="214"/>
      <c r="M464" s="109"/>
      <c r="O464" s="109"/>
      <c r="Q464" s="109"/>
    </row>
    <row r="465" spans="1:17" ht="13.2">
      <c r="A465" s="82"/>
      <c r="B465" s="50"/>
      <c r="D465" s="82"/>
      <c r="K465" s="214"/>
      <c r="M465" s="109"/>
      <c r="O465" s="109"/>
      <c r="Q465" s="109"/>
    </row>
    <row r="466" spans="1:17" ht="13.2">
      <c r="A466" s="82"/>
      <c r="B466" s="50"/>
      <c r="D466" s="82"/>
      <c r="K466" s="214"/>
      <c r="M466" s="109"/>
      <c r="O466" s="109"/>
      <c r="Q466" s="109"/>
    </row>
    <row r="467" spans="1:17" ht="13.2">
      <c r="A467" s="82"/>
      <c r="B467" s="50"/>
      <c r="D467" s="82"/>
      <c r="K467" s="214"/>
      <c r="M467" s="109"/>
      <c r="O467" s="109"/>
      <c r="Q467" s="109"/>
    </row>
    <row r="468" spans="1:17" ht="13.2">
      <c r="A468" s="82"/>
      <c r="B468" s="50"/>
      <c r="D468" s="82"/>
      <c r="K468" s="214"/>
      <c r="M468" s="109"/>
      <c r="O468" s="109"/>
      <c r="Q468" s="109"/>
    </row>
    <row r="469" spans="1:17" ht="13.2">
      <c r="A469" s="82"/>
      <c r="B469" s="50"/>
      <c r="D469" s="82"/>
      <c r="K469" s="214"/>
      <c r="M469" s="109"/>
      <c r="O469" s="109"/>
      <c r="Q469" s="109"/>
    </row>
    <row r="470" spans="1:17" ht="13.2">
      <c r="A470" s="82"/>
      <c r="B470" s="50"/>
      <c r="D470" s="82"/>
      <c r="K470" s="214"/>
      <c r="M470" s="109"/>
      <c r="O470" s="109"/>
      <c r="Q470" s="109"/>
    </row>
    <row r="471" spans="1:17" ht="13.2">
      <c r="A471" s="82"/>
      <c r="B471" s="50"/>
      <c r="D471" s="82"/>
      <c r="K471" s="214"/>
      <c r="M471" s="109"/>
      <c r="O471" s="109"/>
      <c r="Q471" s="109"/>
    </row>
    <row r="472" spans="1:17" ht="13.2">
      <c r="A472" s="82"/>
      <c r="B472" s="50"/>
      <c r="D472" s="82"/>
      <c r="K472" s="214"/>
      <c r="M472" s="109"/>
      <c r="O472" s="109"/>
      <c r="Q472" s="109"/>
    </row>
    <row r="473" spans="1:17" ht="13.2">
      <c r="A473" s="82"/>
      <c r="B473" s="50"/>
      <c r="D473" s="82"/>
      <c r="K473" s="214"/>
      <c r="M473" s="109"/>
      <c r="O473" s="109"/>
      <c r="Q473" s="109"/>
    </row>
    <row r="474" spans="1:17" ht="13.2">
      <c r="A474" s="82"/>
      <c r="B474" s="50"/>
      <c r="D474" s="82"/>
      <c r="K474" s="214"/>
      <c r="M474" s="109"/>
      <c r="O474" s="109"/>
      <c r="Q474" s="109"/>
    </row>
    <row r="475" spans="1:17" ht="13.2">
      <c r="A475" s="82"/>
      <c r="B475" s="50"/>
      <c r="D475" s="82"/>
      <c r="K475" s="214"/>
      <c r="M475" s="109"/>
      <c r="O475" s="109"/>
      <c r="Q475" s="109"/>
    </row>
    <row r="476" spans="1:17" ht="13.2">
      <c r="A476" s="82"/>
      <c r="B476" s="50"/>
      <c r="D476" s="82"/>
      <c r="K476" s="214"/>
      <c r="M476" s="109"/>
      <c r="O476" s="109"/>
      <c r="Q476" s="109"/>
    </row>
    <row r="477" spans="1:17" ht="13.2">
      <c r="A477" s="82"/>
      <c r="B477" s="50"/>
      <c r="D477" s="82"/>
      <c r="K477" s="214"/>
      <c r="M477" s="109"/>
      <c r="O477" s="109"/>
      <c r="Q477" s="109"/>
    </row>
    <row r="478" spans="1:17" ht="13.2">
      <c r="A478" s="82"/>
      <c r="B478" s="50"/>
      <c r="D478" s="82"/>
      <c r="K478" s="214"/>
      <c r="M478" s="109"/>
      <c r="O478" s="109"/>
      <c r="Q478" s="109"/>
    </row>
    <row r="479" spans="1:17" ht="13.2">
      <c r="A479" s="82"/>
      <c r="B479" s="50"/>
      <c r="D479" s="82"/>
      <c r="K479" s="214"/>
      <c r="M479" s="109"/>
      <c r="O479" s="109"/>
      <c r="Q479" s="109"/>
    </row>
    <row r="480" spans="1:17" ht="13.2">
      <c r="A480" s="82"/>
      <c r="B480" s="50"/>
      <c r="D480" s="82"/>
      <c r="K480" s="214"/>
      <c r="M480" s="109"/>
      <c r="O480" s="109"/>
      <c r="Q480" s="109"/>
    </row>
    <row r="481" spans="1:17" ht="13.2">
      <c r="A481" s="82"/>
      <c r="B481" s="50"/>
      <c r="D481" s="82"/>
      <c r="K481" s="214"/>
      <c r="M481" s="109"/>
      <c r="O481" s="109"/>
      <c r="Q481" s="109"/>
    </row>
    <row r="482" spans="1:17" ht="13.2">
      <c r="A482" s="82"/>
      <c r="B482" s="50"/>
      <c r="D482" s="82"/>
      <c r="K482" s="214"/>
      <c r="M482" s="109"/>
      <c r="O482" s="109"/>
      <c r="Q482" s="109"/>
    </row>
    <row r="483" spans="1:17" ht="13.2">
      <c r="A483" s="82"/>
      <c r="B483" s="50"/>
      <c r="D483" s="82"/>
      <c r="K483" s="214"/>
      <c r="M483" s="109"/>
      <c r="O483" s="109"/>
      <c r="Q483" s="109"/>
    </row>
    <row r="484" spans="1:17" ht="13.2">
      <c r="A484" s="82"/>
      <c r="B484" s="50"/>
      <c r="D484" s="82"/>
      <c r="K484" s="214"/>
      <c r="M484" s="109"/>
      <c r="O484" s="109"/>
      <c r="Q484" s="109"/>
    </row>
    <row r="485" spans="1:17" ht="13.2">
      <c r="A485" s="82"/>
      <c r="B485" s="50"/>
      <c r="D485" s="82"/>
      <c r="K485" s="214"/>
      <c r="M485" s="109"/>
      <c r="O485" s="109"/>
      <c r="Q485" s="109"/>
    </row>
    <row r="486" spans="1:17" ht="13.2">
      <c r="A486" s="82"/>
      <c r="B486" s="50"/>
      <c r="D486" s="82"/>
      <c r="K486" s="214"/>
      <c r="M486" s="109"/>
      <c r="O486" s="109"/>
      <c r="Q486" s="109"/>
    </row>
    <row r="487" spans="1:17" ht="13.2">
      <c r="A487" s="82"/>
      <c r="B487" s="50"/>
      <c r="D487" s="82"/>
      <c r="K487" s="214"/>
      <c r="M487" s="109"/>
      <c r="O487" s="109"/>
      <c r="Q487" s="109"/>
    </row>
    <row r="488" spans="1:17" ht="13.2">
      <c r="A488" s="82"/>
      <c r="B488" s="50"/>
      <c r="D488" s="82"/>
      <c r="K488" s="214"/>
      <c r="M488" s="109"/>
      <c r="O488" s="109"/>
      <c r="Q488" s="109"/>
    </row>
    <row r="489" spans="1:17" ht="13.2">
      <c r="A489" s="82"/>
      <c r="B489" s="50"/>
      <c r="D489" s="82"/>
      <c r="K489" s="214"/>
      <c r="M489" s="109"/>
      <c r="O489" s="109"/>
      <c r="Q489" s="109"/>
    </row>
    <row r="490" spans="1:17" ht="13.2">
      <c r="A490" s="82"/>
      <c r="B490" s="50"/>
      <c r="D490" s="82"/>
      <c r="K490" s="214"/>
      <c r="M490" s="109"/>
      <c r="O490" s="109"/>
      <c r="Q490" s="109"/>
    </row>
    <row r="491" spans="1:17" ht="13.2">
      <c r="A491" s="82"/>
      <c r="B491" s="50"/>
      <c r="D491" s="82"/>
      <c r="K491" s="214"/>
      <c r="M491" s="109"/>
      <c r="O491" s="109"/>
      <c r="Q491" s="109"/>
    </row>
    <row r="492" spans="1:17" ht="13.2">
      <c r="A492" s="82"/>
      <c r="B492" s="50"/>
      <c r="D492" s="82"/>
      <c r="K492" s="214"/>
      <c r="M492" s="109"/>
      <c r="O492" s="109"/>
      <c r="Q492" s="109"/>
    </row>
    <row r="493" spans="1:17" ht="13.2">
      <c r="A493" s="82"/>
      <c r="B493" s="50"/>
      <c r="D493" s="82"/>
      <c r="K493" s="214"/>
      <c r="M493" s="109"/>
      <c r="O493" s="109"/>
      <c r="Q493" s="109"/>
    </row>
    <row r="494" spans="1:17" ht="13.2">
      <c r="A494" s="82"/>
      <c r="B494" s="50"/>
      <c r="D494" s="82"/>
      <c r="K494" s="214"/>
      <c r="M494" s="109"/>
      <c r="O494" s="109"/>
      <c r="Q494" s="109"/>
    </row>
    <row r="495" spans="1:17" ht="13.2">
      <c r="A495" s="82"/>
      <c r="B495" s="50"/>
      <c r="D495" s="82"/>
      <c r="K495" s="214"/>
      <c r="M495" s="109"/>
      <c r="O495" s="109"/>
      <c r="Q495" s="109"/>
    </row>
    <row r="496" spans="1:17" ht="13.2">
      <c r="A496" s="82"/>
      <c r="B496" s="50"/>
      <c r="D496" s="82"/>
      <c r="K496" s="214"/>
      <c r="M496" s="109"/>
      <c r="O496" s="109"/>
      <c r="Q496" s="109"/>
    </row>
    <row r="497" spans="1:17" ht="13.2">
      <c r="A497" s="82"/>
      <c r="B497" s="50"/>
      <c r="D497" s="82"/>
      <c r="K497" s="214"/>
      <c r="M497" s="109"/>
      <c r="O497" s="109"/>
      <c r="Q497" s="109"/>
    </row>
    <row r="498" spans="1:17" ht="13.2">
      <c r="A498" s="82"/>
      <c r="B498" s="50"/>
      <c r="D498" s="82"/>
      <c r="K498" s="214"/>
      <c r="M498" s="109"/>
      <c r="O498" s="109"/>
      <c r="Q498" s="109"/>
    </row>
    <row r="499" spans="1:17" ht="13.2">
      <c r="A499" s="82"/>
      <c r="B499" s="50"/>
      <c r="D499" s="82"/>
      <c r="K499" s="214"/>
      <c r="M499" s="109"/>
      <c r="O499" s="109"/>
      <c r="Q499" s="109"/>
    </row>
    <row r="500" spans="1:17" ht="13.2">
      <c r="A500" s="82"/>
      <c r="B500" s="50"/>
      <c r="D500" s="82"/>
      <c r="K500" s="214"/>
      <c r="M500" s="109"/>
      <c r="O500" s="109"/>
      <c r="Q500" s="109"/>
    </row>
    <row r="501" spans="1:17" ht="13.2">
      <c r="A501" s="82"/>
      <c r="B501" s="50"/>
      <c r="D501" s="82"/>
      <c r="K501" s="214"/>
      <c r="M501" s="109"/>
      <c r="O501" s="109"/>
      <c r="Q501" s="109"/>
    </row>
    <row r="502" spans="1:17" ht="13.2">
      <c r="A502" s="82"/>
      <c r="B502" s="50"/>
      <c r="D502" s="82"/>
      <c r="K502" s="214"/>
      <c r="M502" s="109"/>
      <c r="O502" s="109"/>
      <c r="Q502" s="109"/>
    </row>
    <row r="503" spans="1:17" ht="13.2">
      <c r="A503" s="82"/>
      <c r="B503" s="50"/>
      <c r="D503" s="82"/>
      <c r="K503" s="214"/>
      <c r="M503" s="109"/>
      <c r="O503" s="109"/>
      <c r="Q503" s="109"/>
    </row>
    <row r="504" spans="1:17" ht="13.2">
      <c r="A504" s="82"/>
      <c r="B504" s="50"/>
      <c r="D504" s="82"/>
      <c r="K504" s="214"/>
      <c r="M504" s="109"/>
      <c r="O504" s="109"/>
      <c r="Q504" s="109"/>
    </row>
    <row r="505" spans="1:17" ht="13.2">
      <c r="A505" s="82"/>
      <c r="B505" s="50"/>
      <c r="D505" s="82"/>
      <c r="K505" s="214"/>
      <c r="M505" s="109"/>
      <c r="O505" s="109"/>
      <c r="Q505" s="109"/>
    </row>
    <row r="506" spans="1:17" ht="13.2">
      <c r="A506" s="82"/>
      <c r="B506" s="50"/>
      <c r="D506" s="82"/>
      <c r="K506" s="214"/>
      <c r="M506" s="109"/>
      <c r="O506" s="109"/>
      <c r="Q506" s="109"/>
    </row>
    <row r="507" spans="1:17" ht="13.2">
      <c r="A507" s="82"/>
      <c r="B507" s="50"/>
      <c r="D507" s="82"/>
      <c r="K507" s="214"/>
      <c r="M507" s="109"/>
      <c r="O507" s="109"/>
      <c r="Q507" s="109"/>
    </row>
    <row r="508" spans="1:17" ht="13.2">
      <c r="A508" s="82"/>
      <c r="B508" s="50"/>
      <c r="D508" s="82"/>
      <c r="K508" s="214"/>
      <c r="M508" s="109"/>
      <c r="O508" s="109"/>
      <c r="Q508" s="109"/>
    </row>
    <row r="509" spans="1:17" ht="13.2">
      <c r="A509" s="82"/>
      <c r="B509" s="50"/>
      <c r="D509" s="82"/>
      <c r="K509" s="214"/>
      <c r="M509" s="109"/>
      <c r="O509" s="109"/>
      <c r="Q509" s="109"/>
    </row>
    <row r="510" spans="1:17" ht="13.2">
      <c r="A510" s="82"/>
      <c r="B510" s="50"/>
      <c r="D510" s="82"/>
      <c r="K510" s="214"/>
      <c r="M510" s="109"/>
      <c r="O510" s="109"/>
      <c r="Q510" s="109"/>
    </row>
    <row r="511" spans="1:17" ht="13.2">
      <c r="A511" s="82"/>
      <c r="B511" s="50"/>
      <c r="D511" s="82"/>
      <c r="K511" s="214"/>
      <c r="M511" s="109"/>
      <c r="O511" s="109"/>
      <c r="Q511" s="109"/>
    </row>
    <row r="512" spans="1:17" ht="13.2">
      <c r="A512" s="82"/>
      <c r="B512" s="50"/>
      <c r="D512" s="82"/>
      <c r="K512" s="214"/>
      <c r="M512" s="109"/>
      <c r="O512" s="109"/>
      <c r="Q512" s="109"/>
    </row>
    <row r="513" spans="1:17" ht="13.2">
      <c r="A513" s="82"/>
      <c r="B513" s="50"/>
      <c r="D513" s="82"/>
      <c r="K513" s="214"/>
      <c r="M513" s="109"/>
      <c r="O513" s="109"/>
      <c r="Q513" s="109"/>
    </row>
    <row r="514" spans="1:17" ht="13.2">
      <c r="A514" s="82"/>
      <c r="B514" s="50"/>
      <c r="D514" s="82"/>
      <c r="K514" s="214"/>
      <c r="M514" s="109"/>
      <c r="O514" s="109"/>
      <c r="Q514" s="109"/>
    </row>
    <row r="515" spans="1:17" ht="13.2">
      <c r="A515" s="82"/>
      <c r="B515" s="50"/>
      <c r="D515" s="82"/>
      <c r="K515" s="214"/>
      <c r="M515" s="109"/>
      <c r="O515" s="109"/>
      <c r="Q515" s="109"/>
    </row>
    <row r="516" spans="1:17" ht="13.2">
      <c r="A516" s="82"/>
      <c r="B516" s="50"/>
      <c r="D516" s="82"/>
      <c r="K516" s="214"/>
      <c r="M516" s="109"/>
      <c r="O516" s="109"/>
      <c r="Q516" s="109"/>
    </row>
    <row r="517" spans="1:17" ht="13.2">
      <c r="A517" s="82"/>
      <c r="B517" s="50"/>
      <c r="D517" s="82"/>
      <c r="K517" s="214"/>
      <c r="M517" s="109"/>
      <c r="O517" s="109"/>
      <c r="Q517" s="109"/>
    </row>
    <row r="518" spans="1:17" ht="13.2">
      <c r="A518" s="82"/>
      <c r="B518" s="50"/>
      <c r="D518" s="82"/>
      <c r="K518" s="214"/>
      <c r="M518" s="109"/>
      <c r="O518" s="109"/>
      <c r="Q518" s="109"/>
    </row>
    <row r="519" spans="1:17" ht="13.2">
      <c r="A519" s="82"/>
      <c r="B519" s="50"/>
      <c r="D519" s="82"/>
      <c r="K519" s="214"/>
      <c r="M519" s="109"/>
      <c r="O519" s="109"/>
      <c r="Q519" s="109"/>
    </row>
    <row r="520" spans="1:17" ht="13.2">
      <c r="A520" s="82"/>
      <c r="B520" s="50"/>
      <c r="D520" s="82"/>
      <c r="K520" s="214"/>
      <c r="M520" s="109"/>
      <c r="O520" s="109"/>
      <c r="Q520" s="109"/>
    </row>
    <row r="521" spans="1:17" ht="13.2">
      <c r="A521" s="82"/>
      <c r="B521" s="50"/>
      <c r="D521" s="82"/>
      <c r="K521" s="214"/>
      <c r="M521" s="109"/>
      <c r="O521" s="109"/>
      <c r="Q521" s="109"/>
    </row>
    <row r="522" spans="1:17" ht="13.2">
      <c r="A522" s="82"/>
      <c r="B522" s="50"/>
      <c r="D522" s="82"/>
      <c r="K522" s="214"/>
      <c r="M522" s="109"/>
      <c r="O522" s="109"/>
      <c r="Q522" s="109"/>
    </row>
    <row r="523" spans="1:17" ht="13.2">
      <c r="A523" s="82"/>
      <c r="B523" s="50"/>
      <c r="D523" s="82"/>
      <c r="K523" s="214"/>
      <c r="M523" s="109"/>
      <c r="O523" s="109"/>
      <c r="Q523" s="109"/>
    </row>
    <row r="524" spans="1:17" ht="13.2">
      <c r="A524" s="82"/>
      <c r="B524" s="50"/>
      <c r="D524" s="82"/>
      <c r="K524" s="214"/>
      <c r="M524" s="109"/>
      <c r="O524" s="109"/>
      <c r="Q524" s="109"/>
    </row>
    <row r="525" spans="1:17" ht="13.2">
      <c r="A525" s="82"/>
      <c r="B525" s="50"/>
      <c r="D525" s="82"/>
      <c r="K525" s="214"/>
      <c r="M525" s="109"/>
      <c r="O525" s="109"/>
      <c r="Q525" s="109"/>
    </row>
    <row r="526" spans="1:17" ht="13.2">
      <c r="A526" s="82"/>
      <c r="B526" s="50"/>
      <c r="D526" s="82"/>
      <c r="K526" s="214"/>
      <c r="M526" s="109"/>
      <c r="O526" s="109"/>
      <c r="Q526" s="109"/>
    </row>
    <row r="527" spans="1:17" ht="13.2">
      <c r="A527" s="82"/>
      <c r="B527" s="50"/>
      <c r="D527" s="82"/>
      <c r="K527" s="214"/>
      <c r="M527" s="109"/>
      <c r="O527" s="109"/>
      <c r="Q527" s="109"/>
    </row>
    <row r="528" spans="1:17" ht="13.2">
      <c r="A528" s="82"/>
      <c r="B528" s="50"/>
      <c r="D528" s="82"/>
      <c r="K528" s="214"/>
      <c r="M528" s="109"/>
      <c r="O528" s="109"/>
      <c r="Q528" s="109"/>
    </row>
    <row r="529" spans="1:17" ht="13.2">
      <c r="A529" s="82"/>
      <c r="B529" s="50"/>
      <c r="D529" s="82"/>
      <c r="K529" s="214"/>
      <c r="M529" s="109"/>
      <c r="O529" s="109"/>
      <c r="Q529" s="109"/>
    </row>
    <row r="530" spans="1:17" ht="13.2">
      <c r="A530" s="82"/>
      <c r="B530" s="50"/>
      <c r="D530" s="82"/>
      <c r="K530" s="214"/>
      <c r="M530" s="109"/>
      <c r="O530" s="109"/>
      <c r="Q530" s="109"/>
    </row>
    <row r="531" spans="1:17" ht="13.2">
      <c r="A531" s="82"/>
      <c r="B531" s="50"/>
      <c r="D531" s="82"/>
      <c r="K531" s="214"/>
      <c r="M531" s="109"/>
      <c r="O531" s="109"/>
      <c r="Q531" s="109"/>
    </row>
    <row r="532" spans="1:17" ht="13.2">
      <c r="A532" s="82"/>
      <c r="B532" s="50"/>
      <c r="D532" s="82"/>
      <c r="K532" s="214"/>
      <c r="M532" s="109"/>
      <c r="O532" s="109"/>
      <c r="Q532" s="109"/>
    </row>
    <row r="533" spans="1:17" ht="13.2">
      <c r="A533" s="82"/>
      <c r="B533" s="50"/>
      <c r="D533" s="82"/>
      <c r="K533" s="214"/>
      <c r="M533" s="109"/>
      <c r="O533" s="109"/>
      <c r="Q533" s="109"/>
    </row>
    <row r="534" spans="1:17" ht="13.2">
      <c r="A534" s="82"/>
      <c r="B534" s="50"/>
      <c r="D534" s="82"/>
      <c r="K534" s="214"/>
      <c r="M534" s="109"/>
      <c r="O534" s="109"/>
      <c r="Q534" s="109"/>
    </row>
    <row r="535" spans="1:17" ht="13.2">
      <c r="A535" s="82"/>
      <c r="B535" s="50"/>
      <c r="D535" s="82"/>
      <c r="K535" s="214"/>
      <c r="M535" s="109"/>
      <c r="O535" s="109"/>
      <c r="Q535" s="109"/>
    </row>
    <row r="536" spans="1:17" ht="13.2">
      <c r="A536" s="82"/>
      <c r="B536" s="50"/>
      <c r="D536" s="82"/>
      <c r="K536" s="214"/>
      <c r="M536" s="109"/>
      <c r="O536" s="109"/>
      <c r="Q536" s="109"/>
    </row>
    <row r="537" spans="1:17" ht="13.2">
      <c r="A537" s="82"/>
      <c r="B537" s="50"/>
      <c r="D537" s="82"/>
      <c r="K537" s="214"/>
      <c r="M537" s="109"/>
      <c r="O537" s="109"/>
      <c r="Q537" s="109"/>
    </row>
    <row r="538" spans="1:17" ht="13.2">
      <c r="A538" s="82"/>
      <c r="B538" s="50"/>
      <c r="D538" s="82"/>
      <c r="K538" s="214"/>
      <c r="M538" s="109"/>
      <c r="O538" s="109"/>
      <c r="Q538" s="109"/>
    </row>
    <row r="539" spans="1:17" ht="13.2">
      <c r="A539" s="82"/>
      <c r="B539" s="50"/>
      <c r="D539" s="82"/>
      <c r="K539" s="214"/>
      <c r="M539" s="109"/>
      <c r="O539" s="109"/>
      <c r="Q539" s="109"/>
    </row>
    <row r="540" spans="1:17" ht="13.2">
      <c r="A540" s="82"/>
      <c r="B540" s="50"/>
      <c r="D540" s="82"/>
      <c r="K540" s="214"/>
      <c r="M540" s="109"/>
      <c r="O540" s="109"/>
      <c r="Q540" s="109"/>
    </row>
    <row r="541" spans="1:17" ht="13.2">
      <c r="A541" s="82"/>
      <c r="B541" s="50"/>
      <c r="D541" s="82"/>
      <c r="K541" s="214"/>
      <c r="M541" s="109"/>
      <c r="O541" s="109"/>
      <c r="Q541" s="109"/>
    </row>
    <row r="542" spans="1:17" ht="13.2">
      <c r="A542" s="82"/>
      <c r="B542" s="50"/>
      <c r="D542" s="82"/>
      <c r="K542" s="214"/>
      <c r="M542" s="109"/>
      <c r="O542" s="109"/>
      <c r="Q542" s="109"/>
    </row>
    <row r="543" spans="1:17" ht="13.2">
      <c r="A543" s="82"/>
      <c r="B543" s="50"/>
      <c r="D543" s="82"/>
      <c r="K543" s="214"/>
      <c r="M543" s="109"/>
      <c r="O543" s="109"/>
      <c r="Q543" s="109"/>
    </row>
    <row r="544" spans="1:17" ht="13.2">
      <c r="A544" s="82"/>
      <c r="B544" s="50"/>
      <c r="D544" s="82"/>
      <c r="K544" s="214"/>
      <c r="M544" s="109"/>
      <c r="O544" s="109"/>
      <c r="Q544" s="109"/>
    </row>
    <row r="545" spans="1:17" ht="13.2">
      <c r="A545" s="82"/>
      <c r="B545" s="50"/>
      <c r="D545" s="82"/>
      <c r="K545" s="214"/>
      <c r="M545" s="109"/>
      <c r="O545" s="109"/>
      <c r="Q545" s="109"/>
    </row>
    <row r="546" spans="1:17" ht="13.2">
      <c r="A546" s="82"/>
      <c r="B546" s="50"/>
      <c r="D546" s="82"/>
      <c r="K546" s="214"/>
      <c r="M546" s="109"/>
      <c r="O546" s="109"/>
      <c r="Q546" s="109"/>
    </row>
    <row r="547" spans="1:17" ht="13.2">
      <c r="A547" s="82"/>
      <c r="B547" s="50"/>
      <c r="D547" s="82"/>
      <c r="K547" s="214"/>
      <c r="M547" s="109"/>
      <c r="O547" s="109"/>
      <c r="Q547" s="109"/>
    </row>
    <row r="548" spans="1:17" ht="13.2">
      <c r="A548" s="82"/>
      <c r="B548" s="50"/>
      <c r="D548" s="82"/>
      <c r="K548" s="214"/>
      <c r="M548" s="109"/>
      <c r="O548" s="109"/>
      <c r="Q548" s="109"/>
    </row>
    <row r="549" spans="1:17" ht="13.2">
      <c r="A549" s="82"/>
      <c r="B549" s="50"/>
      <c r="D549" s="82"/>
      <c r="K549" s="214"/>
      <c r="M549" s="109"/>
      <c r="O549" s="109"/>
      <c r="Q549" s="109"/>
    </row>
    <row r="550" spans="1:17" ht="13.2">
      <c r="A550" s="82"/>
      <c r="B550" s="50"/>
      <c r="D550" s="82"/>
      <c r="K550" s="214"/>
      <c r="M550" s="109"/>
      <c r="O550" s="109"/>
      <c r="Q550" s="109"/>
    </row>
    <row r="551" spans="1:17" ht="13.2">
      <c r="A551" s="82"/>
      <c r="B551" s="50"/>
      <c r="D551" s="82"/>
      <c r="K551" s="214"/>
      <c r="M551" s="109"/>
      <c r="O551" s="109"/>
      <c r="Q551" s="109"/>
    </row>
    <row r="552" spans="1:17" ht="13.2">
      <c r="A552" s="82"/>
      <c r="B552" s="50"/>
      <c r="D552" s="82"/>
      <c r="K552" s="214"/>
      <c r="M552" s="109"/>
      <c r="O552" s="109"/>
      <c r="Q552" s="109"/>
    </row>
    <row r="553" spans="1:17" ht="13.2">
      <c r="A553" s="82"/>
      <c r="B553" s="50"/>
      <c r="D553" s="82"/>
      <c r="K553" s="214"/>
      <c r="M553" s="109"/>
      <c r="O553" s="109"/>
      <c r="Q553" s="109"/>
    </row>
    <row r="554" spans="1:17" ht="13.2">
      <c r="A554" s="82"/>
      <c r="B554" s="50"/>
      <c r="D554" s="82"/>
      <c r="K554" s="214"/>
      <c r="M554" s="109"/>
      <c r="O554" s="109"/>
      <c r="Q554" s="109"/>
    </row>
    <row r="555" spans="1:17" ht="13.2">
      <c r="A555" s="82"/>
      <c r="B555" s="50"/>
      <c r="D555" s="82"/>
      <c r="K555" s="214"/>
      <c r="M555" s="109"/>
      <c r="O555" s="109"/>
      <c r="Q555" s="109"/>
    </row>
    <row r="556" spans="1:17" ht="13.2">
      <c r="A556" s="82"/>
      <c r="B556" s="50"/>
      <c r="D556" s="82"/>
      <c r="K556" s="214"/>
      <c r="M556" s="109"/>
      <c r="O556" s="109"/>
      <c r="Q556" s="109"/>
    </row>
    <row r="557" spans="1:17" ht="13.2">
      <c r="A557" s="82"/>
      <c r="B557" s="50"/>
      <c r="D557" s="82"/>
      <c r="K557" s="214"/>
      <c r="M557" s="109"/>
      <c r="O557" s="109"/>
      <c r="Q557" s="109"/>
    </row>
    <row r="558" spans="1:17" ht="13.2">
      <c r="A558" s="82"/>
      <c r="B558" s="50"/>
      <c r="D558" s="82"/>
      <c r="K558" s="214"/>
      <c r="M558" s="109"/>
      <c r="O558" s="109"/>
      <c r="Q558" s="109"/>
    </row>
    <row r="559" spans="1:17" ht="13.2">
      <c r="A559" s="82"/>
      <c r="B559" s="50"/>
      <c r="D559" s="82"/>
      <c r="K559" s="214"/>
      <c r="M559" s="109"/>
      <c r="O559" s="109"/>
      <c r="Q559" s="109"/>
    </row>
    <row r="560" spans="1:17" ht="13.2">
      <c r="A560" s="82"/>
      <c r="B560" s="50"/>
      <c r="D560" s="82"/>
      <c r="K560" s="214"/>
      <c r="M560" s="109"/>
      <c r="O560" s="109"/>
      <c r="Q560" s="109"/>
    </row>
    <row r="561" spans="1:17" ht="13.2">
      <c r="A561" s="82"/>
      <c r="B561" s="50"/>
      <c r="D561" s="82"/>
      <c r="K561" s="214"/>
      <c r="M561" s="109"/>
      <c r="O561" s="109"/>
      <c r="Q561" s="109"/>
    </row>
    <row r="562" spans="1:17" ht="13.2">
      <c r="A562" s="82"/>
      <c r="B562" s="50"/>
      <c r="D562" s="82"/>
      <c r="K562" s="214"/>
      <c r="M562" s="109"/>
      <c r="O562" s="109"/>
      <c r="Q562" s="109"/>
    </row>
    <row r="563" spans="1:17" ht="13.2">
      <c r="A563" s="82"/>
      <c r="B563" s="50"/>
      <c r="D563" s="82"/>
      <c r="K563" s="214"/>
      <c r="M563" s="109"/>
      <c r="O563" s="109"/>
      <c r="Q563" s="109"/>
    </row>
    <row r="564" spans="1:17" ht="13.2">
      <c r="A564" s="82"/>
      <c r="B564" s="50"/>
      <c r="D564" s="82"/>
      <c r="K564" s="214"/>
      <c r="M564" s="109"/>
      <c r="O564" s="109"/>
      <c r="Q564" s="109"/>
    </row>
    <row r="565" spans="1:17" ht="13.2">
      <c r="A565" s="82"/>
      <c r="B565" s="50"/>
      <c r="D565" s="82"/>
      <c r="K565" s="214"/>
      <c r="M565" s="109"/>
      <c r="O565" s="109"/>
      <c r="Q565" s="109"/>
    </row>
    <row r="566" spans="1:17" ht="13.2">
      <c r="A566" s="82"/>
      <c r="B566" s="50"/>
      <c r="D566" s="82"/>
      <c r="K566" s="214"/>
      <c r="M566" s="109"/>
      <c r="O566" s="109"/>
      <c r="Q566" s="109"/>
    </row>
    <row r="567" spans="1:17" ht="13.2">
      <c r="A567" s="82"/>
      <c r="B567" s="50"/>
      <c r="D567" s="82"/>
      <c r="K567" s="214"/>
      <c r="M567" s="109"/>
      <c r="O567" s="109"/>
      <c r="Q567" s="109"/>
    </row>
    <row r="568" spans="1:17" ht="13.2">
      <c r="A568" s="82"/>
      <c r="B568" s="50"/>
      <c r="D568" s="82"/>
      <c r="K568" s="214"/>
      <c r="M568" s="109"/>
      <c r="O568" s="109"/>
      <c r="Q568" s="109"/>
    </row>
    <row r="569" spans="1:17" ht="13.2">
      <c r="A569" s="82"/>
      <c r="B569" s="50"/>
      <c r="D569" s="82"/>
      <c r="K569" s="214"/>
      <c r="M569" s="109"/>
      <c r="O569" s="109"/>
      <c r="Q569" s="109"/>
    </row>
    <row r="570" spans="1:17" ht="13.2">
      <c r="A570" s="82"/>
      <c r="B570" s="50"/>
      <c r="D570" s="82"/>
      <c r="K570" s="214"/>
      <c r="M570" s="109"/>
      <c r="O570" s="109"/>
      <c r="Q570" s="109"/>
    </row>
    <row r="571" spans="1:17" ht="13.2">
      <c r="A571" s="82"/>
      <c r="B571" s="50"/>
      <c r="D571" s="82"/>
      <c r="K571" s="214"/>
      <c r="M571" s="109"/>
      <c r="O571" s="109"/>
      <c r="Q571" s="109"/>
    </row>
    <row r="572" spans="1:17" ht="13.2">
      <c r="A572" s="82"/>
      <c r="B572" s="50"/>
      <c r="D572" s="82"/>
      <c r="K572" s="214"/>
      <c r="M572" s="109"/>
      <c r="O572" s="109"/>
      <c r="Q572" s="109"/>
    </row>
    <row r="573" spans="1:17" ht="13.2">
      <c r="A573" s="82"/>
      <c r="B573" s="50"/>
      <c r="D573" s="82"/>
      <c r="K573" s="214"/>
      <c r="M573" s="109"/>
      <c r="O573" s="109"/>
      <c r="Q573" s="109"/>
    </row>
    <row r="574" spans="1:17" ht="13.2">
      <c r="A574" s="82"/>
      <c r="B574" s="50"/>
      <c r="D574" s="82"/>
      <c r="K574" s="214"/>
      <c r="M574" s="109"/>
      <c r="O574" s="109"/>
      <c r="Q574" s="109"/>
    </row>
    <row r="575" spans="1:17" ht="13.2">
      <c r="A575" s="82"/>
      <c r="B575" s="50"/>
      <c r="D575" s="82"/>
      <c r="K575" s="214"/>
      <c r="M575" s="109"/>
      <c r="O575" s="109"/>
      <c r="Q575" s="109"/>
    </row>
    <row r="576" spans="1:17" ht="13.2">
      <c r="A576" s="82"/>
      <c r="B576" s="50"/>
      <c r="D576" s="82"/>
      <c r="K576" s="214"/>
      <c r="M576" s="109"/>
      <c r="O576" s="109"/>
      <c r="Q576" s="109"/>
    </row>
    <row r="577" spans="1:17" ht="13.2">
      <c r="A577" s="82"/>
      <c r="B577" s="50"/>
      <c r="D577" s="82"/>
      <c r="K577" s="214"/>
      <c r="M577" s="109"/>
      <c r="O577" s="109"/>
      <c r="Q577" s="109"/>
    </row>
    <row r="578" spans="1:17" ht="13.2">
      <c r="A578" s="82"/>
      <c r="B578" s="50"/>
      <c r="D578" s="82"/>
      <c r="K578" s="214"/>
      <c r="M578" s="109"/>
      <c r="O578" s="109"/>
      <c r="Q578" s="109"/>
    </row>
    <row r="579" spans="1:17" ht="13.2">
      <c r="A579" s="82"/>
      <c r="B579" s="50"/>
      <c r="D579" s="82"/>
      <c r="K579" s="214"/>
      <c r="M579" s="109"/>
      <c r="O579" s="109"/>
      <c r="Q579" s="109"/>
    </row>
    <row r="580" spans="1:17" ht="13.2">
      <c r="A580" s="82"/>
      <c r="B580" s="50"/>
      <c r="D580" s="82"/>
      <c r="K580" s="214"/>
      <c r="M580" s="109"/>
      <c r="O580" s="109"/>
      <c r="Q580" s="109"/>
    </row>
    <row r="581" spans="1:17" ht="13.2">
      <c r="A581" s="82"/>
      <c r="B581" s="50"/>
      <c r="D581" s="82"/>
      <c r="K581" s="214"/>
      <c r="M581" s="109"/>
      <c r="O581" s="109"/>
      <c r="Q581" s="109"/>
    </row>
    <row r="582" spans="1:17" ht="13.2">
      <c r="A582" s="82"/>
      <c r="B582" s="50"/>
      <c r="D582" s="82"/>
      <c r="K582" s="214"/>
      <c r="M582" s="109"/>
      <c r="O582" s="109"/>
      <c r="Q582" s="109"/>
    </row>
    <row r="583" spans="1:17" ht="13.2">
      <c r="A583" s="82"/>
      <c r="B583" s="50"/>
      <c r="D583" s="82"/>
      <c r="K583" s="214"/>
      <c r="M583" s="109"/>
      <c r="O583" s="109"/>
      <c r="Q583" s="109"/>
    </row>
    <row r="584" spans="1:17" ht="13.2">
      <c r="A584" s="82"/>
      <c r="B584" s="50"/>
      <c r="D584" s="82"/>
      <c r="K584" s="214"/>
      <c r="M584" s="109"/>
      <c r="O584" s="109"/>
      <c r="Q584" s="109"/>
    </row>
    <row r="585" spans="1:17" ht="13.2">
      <c r="A585" s="82"/>
      <c r="B585" s="50"/>
      <c r="D585" s="82"/>
      <c r="K585" s="214"/>
      <c r="M585" s="109"/>
      <c r="O585" s="109"/>
      <c r="Q585" s="109"/>
    </row>
    <row r="586" spans="1:17" ht="13.2">
      <c r="A586" s="82"/>
      <c r="B586" s="50"/>
      <c r="D586" s="82"/>
      <c r="K586" s="214"/>
      <c r="M586" s="109"/>
      <c r="O586" s="109"/>
      <c r="Q586" s="109"/>
    </row>
    <row r="587" spans="1:17" ht="13.2">
      <c r="A587" s="82"/>
      <c r="B587" s="50"/>
      <c r="D587" s="82"/>
      <c r="K587" s="214"/>
      <c r="M587" s="109"/>
      <c r="O587" s="109"/>
      <c r="Q587" s="109"/>
    </row>
    <row r="588" spans="1:17" ht="13.2">
      <c r="A588" s="82"/>
      <c r="B588" s="50"/>
      <c r="D588" s="82"/>
      <c r="K588" s="214"/>
      <c r="M588" s="109"/>
      <c r="O588" s="109"/>
      <c r="Q588" s="109"/>
    </row>
    <row r="589" spans="1:17" ht="13.2">
      <c r="A589" s="82"/>
      <c r="B589" s="50"/>
      <c r="D589" s="82"/>
      <c r="K589" s="214"/>
      <c r="M589" s="109"/>
      <c r="O589" s="109"/>
      <c r="Q589" s="109"/>
    </row>
    <row r="590" spans="1:17" ht="13.2">
      <c r="A590" s="82"/>
      <c r="B590" s="50"/>
      <c r="D590" s="82"/>
      <c r="K590" s="214"/>
      <c r="M590" s="109"/>
      <c r="O590" s="109"/>
      <c r="Q590" s="109"/>
    </row>
    <row r="591" spans="1:17" ht="13.2">
      <c r="A591" s="82"/>
      <c r="B591" s="50"/>
      <c r="D591" s="82"/>
      <c r="K591" s="214"/>
      <c r="M591" s="109"/>
      <c r="O591" s="109"/>
      <c r="Q591" s="109"/>
    </row>
    <row r="592" spans="1:17" ht="13.2">
      <c r="A592" s="82"/>
      <c r="B592" s="50"/>
      <c r="D592" s="82"/>
      <c r="K592" s="214"/>
      <c r="M592" s="109"/>
      <c r="O592" s="109"/>
      <c r="Q592" s="109"/>
    </row>
    <row r="593" spans="1:17" ht="13.2">
      <c r="A593" s="82"/>
      <c r="B593" s="50"/>
      <c r="D593" s="82"/>
      <c r="K593" s="214"/>
      <c r="M593" s="109"/>
      <c r="O593" s="109"/>
      <c r="Q593" s="109"/>
    </row>
    <row r="594" spans="1:17" ht="13.2">
      <c r="A594" s="82"/>
      <c r="B594" s="50"/>
      <c r="D594" s="82"/>
      <c r="K594" s="214"/>
      <c r="M594" s="109"/>
      <c r="O594" s="109"/>
      <c r="Q594" s="109"/>
    </row>
    <row r="595" spans="1:17" ht="13.2">
      <c r="A595" s="82"/>
      <c r="B595" s="50"/>
      <c r="D595" s="82"/>
      <c r="K595" s="214"/>
      <c r="M595" s="109"/>
      <c r="O595" s="109"/>
      <c r="Q595" s="109"/>
    </row>
    <row r="596" spans="1:17" ht="13.2">
      <c r="A596" s="82"/>
      <c r="B596" s="50"/>
      <c r="D596" s="82"/>
      <c r="K596" s="214"/>
      <c r="M596" s="109"/>
      <c r="O596" s="109"/>
      <c r="Q596" s="109"/>
    </row>
    <row r="597" spans="1:17" ht="13.2">
      <c r="A597" s="82"/>
      <c r="B597" s="50"/>
      <c r="D597" s="82"/>
      <c r="K597" s="214"/>
      <c r="M597" s="109"/>
      <c r="O597" s="109"/>
      <c r="Q597" s="109"/>
    </row>
    <row r="598" spans="1:17" ht="13.2">
      <c r="A598" s="82"/>
      <c r="B598" s="50"/>
      <c r="D598" s="82"/>
      <c r="K598" s="214"/>
      <c r="M598" s="109"/>
      <c r="O598" s="109"/>
      <c r="Q598" s="109"/>
    </row>
    <row r="599" spans="1:17" ht="13.2">
      <c r="A599" s="82"/>
      <c r="B599" s="50"/>
      <c r="D599" s="82"/>
      <c r="K599" s="214"/>
      <c r="M599" s="109"/>
      <c r="O599" s="109"/>
      <c r="Q599" s="109"/>
    </row>
    <row r="600" spans="1:17" ht="13.2">
      <c r="A600" s="82"/>
      <c r="B600" s="50"/>
      <c r="D600" s="82"/>
      <c r="K600" s="214"/>
      <c r="M600" s="109"/>
      <c r="O600" s="109"/>
      <c r="Q600" s="109"/>
    </row>
    <row r="601" spans="1:17" ht="13.2">
      <c r="A601" s="82"/>
      <c r="B601" s="50"/>
      <c r="D601" s="82"/>
      <c r="K601" s="214"/>
      <c r="M601" s="109"/>
      <c r="O601" s="109"/>
      <c r="Q601" s="109"/>
    </row>
    <row r="602" spans="1:17" ht="13.2">
      <c r="A602" s="82"/>
      <c r="B602" s="50"/>
      <c r="D602" s="82"/>
      <c r="K602" s="214"/>
      <c r="M602" s="109"/>
      <c r="O602" s="109"/>
      <c r="Q602" s="109"/>
    </row>
    <row r="603" spans="1:17" ht="13.2">
      <c r="A603" s="82"/>
      <c r="B603" s="50"/>
      <c r="D603" s="82"/>
      <c r="K603" s="214"/>
      <c r="M603" s="109"/>
      <c r="O603" s="109"/>
      <c r="Q603" s="109"/>
    </row>
    <row r="604" spans="1:17" ht="13.2">
      <c r="A604" s="82"/>
      <c r="B604" s="50"/>
      <c r="D604" s="82"/>
      <c r="K604" s="214"/>
      <c r="M604" s="109"/>
      <c r="O604" s="109"/>
      <c r="Q604" s="109"/>
    </row>
    <row r="605" spans="1:17" ht="13.2">
      <c r="A605" s="82"/>
      <c r="B605" s="50"/>
      <c r="D605" s="82"/>
      <c r="K605" s="214"/>
      <c r="M605" s="109"/>
      <c r="O605" s="109"/>
      <c r="Q605" s="109"/>
    </row>
    <row r="606" spans="1:17" ht="13.2">
      <c r="A606" s="82"/>
      <c r="B606" s="50"/>
      <c r="D606" s="82"/>
      <c r="K606" s="214"/>
      <c r="M606" s="109"/>
      <c r="O606" s="109"/>
      <c r="Q606" s="109"/>
    </row>
    <row r="607" spans="1:17" ht="13.2">
      <c r="A607" s="82"/>
      <c r="B607" s="50"/>
      <c r="D607" s="82"/>
      <c r="K607" s="214"/>
      <c r="M607" s="109"/>
      <c r="O607" s="109"/>
      <c r="Q607" s="109"/>
    </row>
    <row r="608" spans="1:17" ht="13.2">
      <c r="A608" s="82"/>
      <c r="B608" s="50"/>
      <c r="D608" s="82"/>
      <c r="K608" s="214"/>
      <c r="M608" s="109"/>
      <c r="O608" s="109"/>
      <c r="Q608" s="109"/>
    </row>
    <row r="609" spans="1:17" ht="13.2">
      <c r="A609" s="82"/>
      <c r="B609" s="50"/>
      <c r="D609" s="82"/>
      <c r="K609" s="214"/>
      <c r="M609" s="109"/>
      <c r="O609" s="109"/>
      <c r="Q609" s="109"/>
    </row>
    <row r="610" spans="1:17" ht="13.2">
      <c r="A610" s="82"/>
      <c r="B610" s="50"/>
      <c r="D610" s="82"/>
      <c r="K610" s="214"/>
      <c r="M610" s="109"/>
      <c r="O610" s="109"/>
      <c r="Q610" s="109"/>
    </row>
    <row r="611" spans="1:17" ht="13.2">
      <c r="A611" s="82"/>
      <c r="B611" s="50"/>
      <c r="D611" s="82"/>
      <c r="K611" s="214"/>
      <c r="M611" s="109"/>
      <c r="O611" s="109"/>
      <c r="Q611" s="109"/>
    </row>
    <row r="612" spans="1:17" ht="13.2">
      <c r="A612" s="82"/>
      <c r="B612" s="50"/>
      <c r="D612" s="82"/>
      <c r="K612" s="214"/>
      <c r="M612" s="109"/>
      <c r="O612" s="109"/>
      <c r="Q612" s="109"/>
    </row>
    <row r="613" spans="1:17" ht="13.2">
      <c r="A613" s="82"/>
      <c r="B613" s="50"/>
      <c r="D613" s="82"/>
      <c r="K613" s="214"/>
      <c r="M613" s="109"/>
      <c r="O613" s="109"/>
      <c r="Q613" s="109"/>
    </row>
    <row r="614" spans="1:17" ht="13.2">
      <c r="A614" s="82"/>
      <c r="B614" s="50"/>
      <c r="D614" s="82"/>
      <c r="K614" s="214"/>
      <c r="M614" s="109"/>
      <c r="O614" s="109"/>
      <c r="Q614" s="109"/>
    </row>
    <row r="615" spans="1:17" ht="13.2">
      <c r="A615" s="82"/>
      <c r="B615" s="50"/>
      <c r="D615" s="82"/>
      <c r="K615" s="214"/>
      <c r="M615" s="109"/>
      <c r="O615" s="109"/>
      <c r="Q615" s="109"/>
    </row>
    <row r="616" spans="1:17" ht="13.2">
      <c r="A616" s="82"/>
      <c r="B616" s="50"/>
      <c r="D616" s="82"/>
      <c r="K616" s="214"/>
      <c r="M616" s="109"/>
      <c r="O616" s="109"/>
      <c r="Q616" s="109"/>
    </row>
    <row r="617" spans="1:17" ht="13.2">
      <c r="A617" s="82"/>
      <c r="B617" s="50"/>
      <c r="D617" s="82"/>
      <c r="K617" s="214"/>
      <c r="M617" s="109"/>
      <c r="O617" s="109"/>
      <c r="Q617" s="109"/>
    </row>
    <row r="618" spans="1:17" ht="13.2">
      <c r="A618" s="82"/>
      <c r="B618" s="50"/>
      <c r="D618" s="82"/>
      <c r="K618" s="214"/>
      <c r="M618" s="109"/>
      <c r="O618" s="109"/>
      <c r="Q618" s="109"/>
    </row>
    <row r="619" spans="1:17" ht="13.2">
      <c r="A619" s="82"/>
      <c r="B619" s="50"/>
      <c r="D619" s="82"/>
      <c r="K619" s="214"/>
      <c r="M619" s="109"/>
      <c r="O619" s="109"/>
      <c r="Q619" s="109"/>
    </row>
    <row r="620" spans="1:17" ht="13.2">
      <c r="A620" s="82"/>
      <c r="B620" s="50"/>
      <c r="D620" s="82"/>
      <c r="K620" s="214"/>
      <c r="M620" s="109"/>
      <c r="O620" s="109"/>
      <c r="Q620" s="109"/>
    </row>
    <row r="621" spans="1:17" ht="13.2">
      <c r="A621" s="82"/>
      <c r="B621" s="50"/>
      <c r="D621" s="82"/>
      <c r="K621" s="214"/>
      <c r="M621" s="109"/>
      <c r="O621" s="109"/>
      <c r="Q621" s="109"/>
    </row>
    <row r="622" spans="1:17" ht="13.2">
      <c r="A622" s="82"/>
      <c r="B622" s="50"/>
      <c r="D622" s="82"/>
      <c r="K622" s="214"/>
      <c r="M622" s="109"/>
      <c r="O622" s="109"/>
      <c r="Q622" s="109"/>
    </row>
    <row r="623" spans="1:17" ht="13.2">
      <c r="A623" s="82"/>
      <c r="B623" s="50"/>
      <c r="D623" s="82"/>
      <c r="K623" s="214"/>
      <c r="M623" s="109"/>
      <c r="O623" s="109"/>
      <c r="Q623" s="109"/>
    </row>
    <row r="624" spans="1:17" ht="13.2">
      <c r="A624" s="82"/>
      <c r="B624" s="50"/>
      <c r="D624" s="82"/>
      <c r="K624" s="214"/>
      <c r="M624" s="109"/>
      <c r="O624" s="109"/>
      <c r="Q624" s="109"/>
    </row>
    <row r="625" spans="1:17" ht="13.2">
      <c r="A625" s="82"/>
      <c r="B625" s="50"/>
      <c r="D625" s="82"/>
      <c r="K625" s="214"/>
      <c r="M625" s="109"/>
      <c r="O625" s="109"/>
      <c r="Q625" s="109"/>
    </row>
    <row r="626" spans="1:17" ht="13.2">
      <c r="A626" s="82"/>
      <c r="B626" s="50"/>
      <c r="D626" s="82"/>
      <c r="K626" s="214"/>
      <c r="M626" s="109"/>
      <c r="O626" s="109"/>
      <c r="Q626" s="109"/>
    </row>
    <row r="627" spans="1:17" ht="13.2">
      <c r="A627" s="82"/>
      <c r="B627" s="50"/>
      <c r="D627" s="82"/>
      <c r="K627" s="214"/>
      <c r="M627" s="109"/>
      <c r="O627" s="109"/>
      <c r="Q627" s="109"/>
    </row>
    <row r="628" spans="1:17" ht="13.2">
      <c r="A628" s="82"/>
      <c r="B628" s="50"/>
      <c r="D628" s="82"/>
      <c r="K628" s="214"/>
      <c r="M628" s="109"/>
      <c r="O628" s="109"/>
      <c r="Q628" s="109"/>
    </row>
    <row r="629" spans="1:17" ht="13.2">
      <c r="A629" s="82"/>
      <c r="B629" s="50"/>
      <c r="D629" s="82"/>
      <c r="K629" s="214"/>
      <c r="M629" s="109"/>
      <c r="O629" s="109"/>
      <c r="Q629" s="109"/>
    </row>
    <row r="630" spans="1:17" ht="13.2">
      <c r="A630" s="82"/>
      <c r="B630" s="50"/>
      <c r="D630" s="82"/>
      <c r="K630" s="214"/>
      <c r="M630" s="109"/>
      <c r="O630" s="109"/>
      <c r="Q630" s="109"/>
    </row>
    <row r="631" spans="1:17" ht="13.2">
      <c r="A631" s="82"/>
      <c r="B631" s="50"/>
      <c r="D631" s="82"/>
      <c r="K631" s="214"/>
      <c r="M631" s="109"/>
      <c r="O631" s="109"/>
      <c r="Q631" s="109"/>
    </row>
    <row r="632" spans="1:17" ht="13.2">
      <c r="A632" s="82"/>
      <c r="B632" s="50"/>
      <c r="D632" s="82"/>
      <c r="K632" s="214"/>
      <c r="M632" s="109"/>
      <c r="O632" s="109"/>
      <c r="Q632" s="109"/>
    </row>
    <row r="633" spans="1:17" ht="13.2">
      <c r="A633" s="82"/>
      <c r="B633" s="50"/>
      <c r="D633" s="82"/>
      <c r="K633" s="214"/>
      <c r="M633" s="109"/>
      <c r="O633" s="109"/>
      <c r="Q633" s="109"/>
    </row>
    <row r="634" spans="1:17" ht="13.2">
      <c r="A634" s="82"/>
      <c r="B634" s="50"/>
      <c r="D634" s="82"/>
      <c r="K634" s="214"/>
      <c r="M634" s="109"/>
      <c r="O634" s="109"/>
      <c r="Q634" s="109"/>
    </row>
    <row r="635" spans="1:17" ht="13.2">
      <c r="A635" s="82"/>
      <c r="B635" s="50"/>
      <c r="D635" s="82"/>
      <c r="K635" s="214"/>
      <c r="M635" s="109"/>
      <c r="O635" s="109"/>
      <c r="Q635" s="109"/>
    </row>
    <row r="636" spans="1:17" ht="13.2">
      <c r="A636" s="82"/>
      <c r="B636" s="50"/>
      <c r="D636" s="82"/>
      <c r="K636" s="214"/>
      <c r="M636" s="109"/>
      <c r="O636" s="109"/>
      <c r="Q636" s="109"/>
    </row>
    <row r="637" spans="1:17" ht="13.2">
      <c r="A637" s="82"/>
      <c r="B637" s="50"/>
      <c r="D637" s="82"/>
      <c r="K637" s="214"/>
      <c r="M637" s="109"/>
      <c r="O637" s="109"/>
      <c r="Q637" s="109"/>
    </row>
    <row r="638" spans="1:17" ht="13.2">
      <c r="A638" s="82"/>
      <c r="B638" s="50"/>
      <c r="D638" s="82"/>
      <c r="K638" s="214"/>
      <c r="M638" s="109"/>
      <c r="O638" s="109"/>
      <c r="Q638" s="109"/>
    </row>
    <row r="639" spans="1:17" ht="13.2">
      <c r="A639" s="82"/>
      <c r="B639" s="50"/>
      <c r="D639" s="82"/>
      <c r="K639" s="214"/>
      <c r="M639" s="109"/>
      <c r="O639" s="109"/>
      <c r="Q639" s="109"/>
    </row>
    <row r="640" spans="1:17" ht="13.2">
      <c r="A640" s="82"/>
      <c r="B640" s="50"/>
      <c r="D640" s="82"/>
      <c r="K640" s="214"/>
      <c r="M640" s="109"/>
      <c r="O640" s="109"/>
      <c r="Q640" s="109"/>
    </row>
    <row r="641" spans="1:17" ht="13.2">
      <c r="A641" s="82"/>
      <c r="B641" s="50"/>
      <c r="D641" s="82"/>
      <c r="K641" s="214"/>
      <c r="M641" s="109"/>
      <c r="O641" s="109"/>
      <c r="Q641" s="109"/>
    </row>
    <row r="642" spans="1:17" ht="13.2">
      <c r="A642" s="82"/>
      <c r="B642" s="50"/>
      <c r="D642" s="82"/>
      <c r="K642" s="214"/>
      <c r="M642" s="109"/>
      <c r="O642" s="109"/>
      <c r="Q642" s="109"/>
    </row>
    <row r="643" spans="1:17" ht="13.2">
      <c r="A643" s="82"/>
      <c r="B643" s="50"/>
      <c r="D643" s="82"/>
      <c r="K643" s="214"/>
      <c r="M643" s="109"/>
      <c r="O643" s="109"/>
      <c r="Q643" s="109"/>
    </row>
    <row r="644" spans="1:17" ht="13.2">
      <c r="A644" s="82"/>
      <c r="B644" s="50"/>
      <c r="D644" s="82"/>
      <c r="K644" s="214"/>
      <c r="M644" s="109"/>
      <c r="O644" s="109"/>
      <c r="Q644" s="109"/>
    </row>
    <row r="645" spans="1:17" ht="13.2">
      <c r="A645" s="82"/>
      <c r="B645" s="50"/>
      <c r="D645" s="82"/>
      <c r="K645" s="214"/>
      <c r="M645" s="109"/>
      <c r="O645" s="109"/>
      <c r="Q645" s="109"/>
    </row>
    <row r="646" spans="1:17" ht="13.2">
      <c r="A646" s="82"/>
      <c r="B646" s="50"/>
      <c r="D646" s="82"/>
      <c r="K646" s="214"/>
      <c r="M646" s="109"/>
      <c r="O646" s="109"/>
      <c r="Q646" s="109"/>
    </row>
    <row r="647" spans="1:17" ht="13.2">
      <c r="A647" s="82"/>
      <c r="B647" s="50"/>
      <c r="D647" s="82"/>
      <c r="K647" s="214"/>
      <c r="M647" s="109"/>
      <c r="O647" s="109"/>
      <c r="Q647" s="109"/>
    </row>
    <row r="648" spans="1:17" ht="13.2">
      <c r="A648" s="82"/>
      <c r="B648" s="50"/>
      <c r="D648" s="82"/>
      <c r="K648" s="214"/>
      <c r="M648" s="109"/>
      <c r="O648" s="109"/>
      <c r="Q648" s="109"/>
    </row>
    <row r="649" spans="1:17" ht="13.2">
      <c r="A649" s="82"/>
      <c r="B649" s="50"/>
      <c r="D649" s="82"/>
      <c r="K649" s="214"/>
      <c r="M649" s="109"/>
      <c r="O649" s="109"/>
      <c r="Q649" s="109"/>
    </row>
    <row r="650" spans="1:17" ht="13.2">
      <c r="A650" s="82"/>
      <c r="B650" s="50"/>
      <c r="D650" s="82"/>
      <c r="K650" s="214"/>
      <c r="M650" s="109"/>
      <c r="O650" s="109"/>
      <c r="Q650" s="109"/>
    </row>
    <row r="651" spans="1:17" ht="13.2">
      <c r="A651" s="82"/>
      <c r="B651" s="50"/>
      <c r="D651" s="82"/>
      <c r="K651" s="214"/>
      <c r="M651" s="109"/>
      <c r="O651" s="109"/>
      <c r="Q651" s="109"/>
    </row>
    <row r="652" spans="1:17" ht="13.2">
      <c r="A652" s="82"/>
      <c r="B652" s="50"/>
      <c r="D652" s="82"/>
      <c r="K652" s="214"/>
      <c r="M652" s="109"/>
      <c r="O652" s="109"/>
      <c r="Q652" s="109"/>
    </row>
    <row r="653" spans="1:17" ht="13.2">
      <c r="A653" s="82"/>
      <c r="B653" s="50"/>
      <c r="D653" s="82"/>
      <c r="K653" s="214"/>
      <c r="M653" s="109"/>
      <c r="O653" s="109"/>
      <c r="Q653" s="109"/>
    </row>
    <row r="654" spans="1:17" ht="13.2">
      <c r="A654" s="82"/>
      <c r="B654" s="50"/>
      <c r="D654" s="82"/>
      <c r="K654" s="214"/>
      <c r="M654" s="109"/>
      <c r="O654" s="109"/>
      <c r="Q654" s="109"/>
    </row>
    <row r="655" spans="1:17" ht="13.2">
      <c r="A655" s="82"/>
      <c r="B655" s="50"/>
      <c r="D655" s="82"/>
      <c r="K655" s="214"/>
      <c r="M655" s="109"/>
      <c r="O655" s="109"/>
      <c r="Q655" s="109"/>
    </row>
    <row r="656" spans="1:17" ht="13.2">
      <c r="A656" s="82"/>
      <c r="B656" s="50"/>
      <c r="D656" s="82"/>
      <c r="K656" s="214"/>
      <c r="M656" s="109"/>
      <c r="O656" s="109"/>
      <c r="Q656" s="109"/>
    </row>
    <row r="657" spans="1:17" ht="13.2">
      <c r="A657" s="82"/>
      <c r="B657" s="50"/>
      <c r="D657" s="82"/>
      <c r="K657" s="214"/>
      <c r="M657" s="109"/>
      <c r="O657" s="109"/>
      <c r="Q657" s="109"/>
    </row>
    <row r="658" spans="1:17" ht="13.2">
      <c r="A658" s="82"/>
      <c r="B658" s="50"/>
      <c r="D658" s="82"/>
      <c r="K658" s="214"/>
      <c r="M658" s="109"/>
      <c r="O658" s="109"/>
      <c r="Q658" s="109"/>
    </row>
    <row r="659" spans="1:17" ht="13.2">
      <c r="A659" s="82"/>
      <c r="B659" s="50"/>
      <c r="D659" s="82"/>
      <c r="K659" s="214"/>
      <c r="M659" s="109"/>
      <c r="O659" s="109"/>
      <c r="Q659" s="109"/>
    </row>
    <row r="660" spans="1:17" ht="13.2">
      <c r="A660" s="82"/>
      <c r="B660" s="50"/>
      <c r="D660" s="82"/>
      <c r="K660" s="214"/>
      <c r="M660" s="109"/>
      <c r="O660" s="109"/>
      <c r="Q660" s="109"/>
    </row>
    <row r="661" spans="1:17" ht="13.2">
      <c r="A661" s="82"/>
      <c r="B661" s="50"/>
      <c r="D661" s="82"/>
      <c r="K661" s="214"/>
      <c r="M661" s="109"/>
      <c r="O661" s="109"/>
      <c r="Q661" s="109"/>
    </row>
    <row r="662" spans="1:17" ht="13.2">
      <c r="A662" s="82"/>
      <c r="B662" s="50"/>
      <c r="D662" s="82"/>
      <c r="K662" s="214"/>
      <c r="M662" s="109"/>
      <c r="O662" s="109"/>
      <c r="Q662" s="109"/>
    </row>
    <row r="663" spans="1:17" ht="13.2">
      <c r="A663" s="82"/>
      <c r="B663" s="50"/>
      <c r="D663" s="82"/>
      <c r="K663" s="214"/>
      <c r="M663" s="109"/>
      <c r="O663" s="109"/>
      <c r="Q663" s="109"/>
    </row>
    <row r="664" spans="1:17" ht="13.2">
      <c r="A664" s="82"/>
      <c r="B664" s="50"/>
      <c r="D664" s="82"/>
      <c r="K664" s="214"/>
      <c r="M664" s="109"/>
      <c r="O664" s="109"/>
      <c r="Q664" s="109"/>
    </row>
    <row r="665" spans="1:17" ht="13.2">
      <c r="A665" s="82"/>
      <c r="B665" s="50"/>
      <c r="D665" s="82"/>
      <c r="K665" s="214"/>
      <c r="M665" s="109"/>
      <c r="O665" s="109"/>
      <c r="Q665" s="109"/>
    </row>
    <row r="666" spans="1:17" ht="13.2">
      <c r="A666" s="82"/>
      <c r="B666" s="50"/>
      <c r="D666" s="82"/>
      <c r="K666" s="214"/>
      <c r="M666" s="109"/>
      <c r="O666" s="109"/>
      <c r="Q666" s="109"/>
    </row>
    <row r="667" spans="1:17" ht="13.2">
      <c r="A667" s="82"/>
      <c r="B667" s="50"/>
      <c r="D667" s="82"/>
      <c r="K667" s="214"/>
      <c r="M667" s="109"/>
      <c r="O667" s="109"/>
      <c r="Q667" s="109"/>
    </row>
    <row r="668" spans="1:17" ht="13.2">
      <c r="A668" s="82"/>
      <c r="B668" s="50"/>
      <c r="D668" s="82"/>
      <c r="K668" s="214"/>
      <c r="M668" s="109"/>
      <c r="O668" s="109"/>
      <c r="Q668" s="109"/>
    </row>
    <row r="669" spans="1:17" ht="13.2">
      <c r="A669" s="82"/>
      <c r="B669" s="50"/>
      <c r="D669" s="82"/>
      <c r="K669" s="214"/>
      <c r="M669" s="109"/>
      <c r="O669" s="109"/>
      <c r="Q669" s="109"/>
    </row>
    <row r="670" spans="1:17" ht="13.2">
      <c r="A670" s="82"/>
      <c r="B670" s="50"/>
      <c r="D670" s="82"/>
      <c r="K670" s="214"/>
      <c r="M670" s="109"/>
      <c r="O670" s="109"/>
      <c r="Q670" s="109"/>
    </row>
    <row r="671" spans="1:17" ht="13.2">
      <c r="A671" s="82"/>
      <c r="B671" s="50"/>
      <c r="D671" s="82"/>
      <c r="K671" s="214"/>
      <c r="M671" s="109"/>
      <c r="O671" s="109"/>
      <c r="Q671" s="109"/>
    </row>
    <row r="672" spans="1:17" ht="13.2">
      <c r="A672" s="82"/>
      <c r="B672" s="50"/>
      <c r="D672" s="82"/>
      <c r="K672" s="214"/>
      <c r="M672" s="109"/>
      <c r="O672" s="109"/>
      <c r="Q672" s="109"/>
    </row>
    <row r="673" spans="1:17" ht="13.2">
      <c r="A673" s="82"/>
      <c r="B673" s="50"/>
      <c r="D673" s="82"/>
      <c r="K673" s="214"/>
      <c r="M673" s="109"/>
      <c r="O673" s="109"/>
      <c r="Q673" s="109"/>
    </row>
    <row r="674" spans="1:17" ht="13.2">
      <c r="A674" s="82"/>
      <c r="B674" s="50"/>
      <c r="D674" s="82"/>
      <c r="K674" s="214"/>
      <c r="M674" s="109"/>
      <c r="O674" s="109"/>
      <c r="Q674" s="109"/>
    </row>
    <row r="675" spans="1:17" ht="13.2">
      <c r="A675" s="82"/>
      <c r="B675" s="50"/>
      <c r="D675" s="82"/>
      <c r="K675" s="214"/>
      <c r="M675" s="109"/>
      <c r="O675" s="109"/>
      <c r="Q675" s="109"/>
    </row>
    <row r="676" spans="1:17" ht="13.2">
      <c r="A676" s="82"/>
      <c r="B676" s="50"/>
      <c r="D676" s="82"/>
      <c r="K676" s="214"/>
      <c r="M676" s="109"/>
      <c r="O676" s="109"/>
      <c r="Q676" s="109"/>
    </row>
    <row r="677" spans="1:17" ht="13.2">
      <c r="A677" s="82"/>
      <c r="B677" s="50"/>
      <c r="D677" s="82"/>
      <c r="K677" s="214"/>
      <c r="M677" s="109"/>
      <c r="O677" s="109"/>
      <c r="Q677" s="109"/>
    </row>
    <row r="678" spans="1:17" ht="13.2">
      <c r="A678" s="82"/>
      <c r="B678" s="50"/>
      <c r="D678" s="82"/>
      <c r="K678" s="214"/>
      <c r="M678" s="109"/>
      <c r="O678" s="109"/>
      <c r="Q678" s="109"/>
    </row>
    <row r="679" spans="1:17" ht="13.2">
      <c r="A679" s="82"/>
      <c r="B679" s="50"/>
      <c r="D679" s="82"/>
      <c r="K679" s="214"/>
      <c r="M679" s="109"/>
      <c r="O679" s="109"/>
      <c r="Q679" s="109"/>
    </row>
    <row r="680" spans="1:17" ht="13.2">
      <c r="A680" s="82"/>
      <c r="B680" s="50"/>
      <c r="D680" s="82"/>
      <c r="K680" s="214"/>
      <c r="M680" s="109"/>
      <c r="O680" s="109"/>
      <c r="Q680" s="109"/>
    </row>
    <row r="681" spans="1:17" ht="13.2">
      <c r="A681" s="82"/>
      <c r="B681" s="50"/>
      <c r="D681" s="82"/>
      <c r="K681" s="214"/>
      <c r="M681" s="109"/>
      <c r="O681" s="109"/>
      <c r="Q681" s="109"/>
    </row>
    <row r="682" spans="1:17" ht="13.2">
      <c r="A682" s="82"/>
      <c r="B682" s="50"/>
      <c r="D682" s="82"/>
      <c r="K682" s="214"/>
      <c r="M682" s="109"/>
      <c r="O682" s="109"/>
      <c r="Q682" s="109"/>
    </row>
    <row r="683" spans="1:17" ht="13.2">
      <c r="A683" s="82"/>
      <c r="B683" s="50"/>
      <c r="D683" s="82"/>
      <c r="K683" s="214"/>
      <c r="M683" s="109"/>
      <c r="O683" s="109"/>
      <c r="Q683" s="109"/>
    </row>
    <row r="684" spans="1:17" ht="13.2">
      <c r="A684" s="82"/>
      <c r="B684" s="50"/>
      <c r="D684" s="82"/>
      <c r="K684" s="214"/>
      <c r="M684" s="109"/>
      <c r="O684" s="109"/>
      <c r="Q684" s="109"/>
    </row>
    <row r="685" spans="1:17" ht="13.2">
      <c r="A685" s="82"/>
      <c r="B685" s="50"/>
      <c r="D685" s="82"/>
      <c r="K685" s="214"/>
      <c r="M685" s="109"/>
      <c r="O685" s="109"/>
      <c r="Q685" s="109"/>
    </row>
    <row r="686" spans="1:17" ht="13.2">
      <c r="A686" s="82"/>
      <c r="B686" s="50"/>
      <c r="D686" s="82"/>
      <c r="K686" s="214"/>
      <c r="M686" s="109"/>
      <c r="O686" s="109"/>
      <c r="Q686" s="109"/>
    </row>
    <row r="687" spans="1:17" ht="13.2">
      <c r="A687" s="82"/>
      <c r="B687" s="50"/>
      <c r="D687" s="82"/>
      <c r="K687" s="214"/>
      <c r="M687" s="109"/>
      <c r="O687" s="109"/>
      <c r="Q687" s="109"/>
    </row>
    <row r="688" spans="1:17" ht="13.2">
      <c r="A688" s="82"/>
      <c r="B688" s="50"/>
      <c r="D688" s="82"/>
      <c r="K688" s="214"/>
      <c r="M688" s="109"/>
      <c r="O688" s="109"/>
      <c r="Q688" s="109"/>
    </row>
    <row r="689" spans="1:17" ht="13.2">
      <c r="A689" s="82"/>
      <c r="B689" s="50"/>
      <c r="D689" s="82"/>
      <c r="K689" s="214"/>
      <c r="M689" s="109"/>
      <c r="O689" s="109"/>
      <c r="Q689" s="109"/>
    </row>
    <row r="690" spans="1:17" ht="13.2">
      <c r="A690" s="82"/>
      <c r="B690" s="50"/>
      <c r="D690" s="82"/>
      <c r="K690" s="214"/>
      <c r="M690" s="109"/>
      <c r="O690" s="109"/>
      <c r="Q690" s="109"/>
    </row>
    <row r="691" spans="1:17" ht="13.2">
      <c r="A691" s="82"/>
      <c r="B691" s="50"/>
      <c r="D691" s="82"/>
      <c r="K691" s="214"/>
      <c r="M691" s="109"/>
      <c r="O691" s="109"/>
      <c r="Q691" s="109"/>
    </row>
    <row r="692" spans="1:17" ht="13.2">
      <c r="A692" s="82"/>
      <c r="B692" s="50"/>
      <c r="D692" s="82"/>
      <c r="K692" s="214"/>
      <c r="M692" s="109"/>
      <c r="O692" s="109"/>
      <c r="Q692" s="109"/>
    </row>
    <row r="693" spans="1:17" ht="13.2">
      <c r="A693" s="82"/>
      <c r="B693" s="50"/>
      <c r="D693" s="82"/>
      <c r="K693" s="214"/>
      <c r="M693" s="109"/>
      <c r="O693" s="109"/>
      <c r="Q693" s="109"/>
    </row>
    <row r="694" spans="1:17" ht="13.2">
      <c r="A694" s="82"/>
      <c r="B694" s="50"/>
      <c r="D694" s="82"/>
      <c r="K694" s="214"/>
      <c r="M694" s="109"/>
      <c r="O694" s="109"/>
      <c r="Q694" s="109"/>
    </row>
    <row r="695" spans="1:17" ht="13.2">
      <c r="A695" s="82"/>
      <c r="B695" s="50"/>
      <c r="D695" s="82"/>
      <c r="K695" s="214"/>
      <c r="M695" s="109"/>
      <c r="O695" s="109"/>
      <c r="Q695" s="109"/>
    </row>
    <row r="696" spans="1:17" ht="13.2">
      <c r="A696" s="82"/>
      <c r="B696" s="50"/>
      <c r="D696" s="82"/>
      <c r="K696" s="214"/>
      <c r="M696" s="109"/>
      <c r="O696" s="109"/>
      <c r="Q696" s="109"/>
    </row>
    <row r="697" spans="1:17" ht="13.2">
      <c r="A697" s="82"/>
      <c r="B697" s="50"/>
      <c r="D697" s="82"/>
      <c r="K697" s="214"/>
      <c r="M697" s="109"/>
      <c r="O697" s="109"/>
      <c r="Q697" s="109"/>
    </row>
    <row r="698" spans="1:17" ht="13.2">
      <c r="A698" s="82"/>
      <c r="B698" s="50"/>
      <c r="D698" s="82"/>
      <c r="K698" s="214"/>
      <c r="M698" s="109"/>
      <c r="O698" s="109"/>
      <c r="Q698" s="109"/>
    </row>
    <row r="699" spans="1:17" ht="13.2">
      <c r="A699" s="82"/>
      <c r="B699" s="50"/>
      <c r="D699" s="82"/>
      <c r="K699" s="214"/>
      <c r="M699" s="109"/>
      <c r="O699" s="109"/>
      <c r="Q699" s="109"/>
    </row>
    <row r="700" spans="1:17" ht="13.2">
      <c r="A700" s="82"/>
      <c r="B700" s="50"/>
      <c r="D700" s="82"/>
      <c r="K700" s="214"/>
      <c r="M700" s="109"/>
      <c r="O700" s="109"/>
      <c r="Q700" s="109"/>
    </row>
    <row r="701" spans="1:17" ht="13.2">
      <c r="A701" s="82"/>
      <c r="B701" s="50"/>
      <c r="D701" s="82"/>
      <c r="K701" s="214"/>
      <c r="M701" s="109"/>
      <c r="O701" s="109"/>
      <c r="Q701" s="109"/>
    </row>
    <row r="702" spans="1:17" ht="13.2">
      <c r="A702" s="82"/>
      <c r="B702" s="50"/>
      <c r="D702" s="82"/>
      <c r="K702" s="214"/>
      <c r="M702" s="109"/>
      <c r="O702" s="109"/>
      <c r="Q702" s="109"/>
    </row>
    <row r="703" spans="1:17" ht="13.2">
      <c r="A703" s="82"/>
      <c r="B703" s="50"/>
      <c r="D703" s="82"/>
      <c r="K703" s="214"/>
      <c r="M703" s="109"/>
      <c r="O703" s="109"/>
      <c r="Q703" s="109"/>
    </row>
    <row r="704" spans="1:17" ht="13.2">
      <c r="A704" s="82"/>
      <c r="B704" s="50"/>
      <c r="D704" s="82"/>
      <c r="K704" s="214"/>
      <c r="M704" s="109"/>
      <c r="O704" s="109"/>
      <c r="Q704" s="109"/>
    </row>
    <row r="705" spans="1:17" ht="13.2">
      <c r="A705" s="82"/>
      <c r="B705" s="50"/>
      <c r="D705" s="82"/>
      <c r="K705" s="214"/>
      <c r="M705" s="109"/>
      <c r="O705" s="109"/>
      <c r="Q705" s="109"/>
    </row>
    <row r="706" spans="1:17" ht="13.2">
      <c r="A706" s="82"/>
      <c r="B706" s="50"/>
      <c r="D706" s="82"/>
      <c r="K706" s="214"/>
      <c r="M706" s="109"/>
      <c r="O706" s="109"/>
      <c r="Q706" s="109"/>
    </row>
    <row r="707" spans="1:17" ht="13.2">
      <c r="A707" s="82"/>
      <c r="B707" s="50"/>
      <c r="D707" s="82"/>
      <c r="K707" s="214"/>
      <c r="M707" s="109"/>
      <c r="O707" s="109"/>
      <c r="Q707" s="109"/>
    </row>
    <row r="708" spans="1:17" ht="13.2">
      <c r="A708" s="82"/>
      <c r="B708" s="50"/>
      <c r="D708" s="82"/>
      <c r="K708" s="214"/>
      <c r="M708" s="109"/>
      <c r="O708" s="109"/>
      <c r="Q708" s="109"/>
    </row>
    <row r="709" spans="1:17" ht="13.2">
      <c r="A709" s="82"/>
      <c r="B709" s="50"/>
      <c r="D709" s="82"/>
      <c r="K709" s="214"/>
      <c r="M709" s="109"/>
      <c r="O709" s="109"/>
      <c r="Q709" s="109"/>
    </row>
    <row r="710" spans="1:17" ht="13.2">
      <c r="A710" s="82"/>
      <c r="B710" s="50"/>
      <c r="D710" s="82"/>
      <c r="K710" s="214"/>
      <c r="M710" s="109"/>
      <c r="O710" s="109"/>
      <c r="Q710" s="109"/>
    </row>
    <row r="711" spans="1:17" ht="13.2">
      <c r="A711" s="82"/>
      <c r="B711" s="50"/>
      <c r="D711" s="82"/>
      <c r="K711" s="214"/>
      <c r="M711" s="109"/>
      <c r="O711" s="109"/>
      <c r="Q711" s="109"/>
    </row>
    <row r="712" spans="1:17" ht="13.2">
      <c r="A712" s="82"/>
      <c r="B712" s="50"/>
      <c r="D712" s="82"/>
      <c r="K712" s="214"/>
      <c r="M712" s="109"/>
      <c r="O712" s="109"/>
      <c r="Q712" s="109"/>
    </row>
    <row r="713" spans="1:17" ht="13.2">
      <c r="A713" s="82"/>
      <c r="B713" s="50"/>
      <c r="D713" s="82"/>
      <c r="K713" s="214"/>
      <c r="M713" s="109"/>
      <c r="O713" s="109"/>
      <c r="Q713" s="109"/>
    </row>
    <row r="714" spans="1:17" ht="13.2">
      <c r="A714" s="82"/>
      <c r="B714" s="50"/>
      <c r="D714" s="82"/>
      <c r="K714" s="214"/>
      <c r="M714" s="109"/>
      <c r="O714" s="109"/>
      <c r="Q714" s="109"/>
    </row>
    <row r="715" spans="1:17" ht="13.2">
      <c r="A715" s="82"/>
      <c r="B715" s="50"/>
      <c r="D715" s="82"/>
      <c r="K715" s="214"/>
      <c r="M715" s="109"/>
      <c r="O715" s="109"/>
      <c r="Q715" s="109"/>
    </row>
    <row r="716" spans="1:17" ht="13.2">
      <c r="A716" s="82"/>
      <c r="B716" s="50"/>
      <c r="D716" s="82"/>
      <c r="K716" s="214"/>
      <c r="M716" s="109"/>
      <c r="O716" s="109"/>
      <c r="Q716" s="109"/>
    </row>
    <row r="717" spans="1:17" ht="13.2">
      <c r="A717" s="82"/>
      <c r="B717" s="50"/>
      <c r="D717" s="82"/>
      <c r="K717" s="214"/>
      <c r="M717" s="109"/>
      <c r="O717" s="109"/>
      <c r="Q717" s="109"/>
    </row>
    <row r="718" spans="1:17" ht="13.2">
      <c r="A718" s="82"/>
      <c r="B718" s="50"/>
      <c r="D718" s="82"/>
      <c r="K718" s="214"/>
      <c r="M718" s="109"/>
      <c r="O718" s="109"/>
      <c r="Q718" s="109"/>
    </row>
    <row r="719" spans="1:17" ht="13.2">
      <c r="A719" s="82"/>
      <c r="B719" s="50"/>
      <c r="D719" s="82"/>
      <c r="K719" s="214"/>
      <c r="M719" s="109"/>
      <c r="O719" s="109"/>
      <c r="Q719" s="109"/>
    </row>
    <row r="720" spans="1:17" ht="13.2">
      <c r="A720" s="82"/>
      <c r="B720" s="50"/>
      <c r="D720" s="82"/>
      <c r="K720" s="214"/>
      <c r="M720" s="109"/>
      <c r="O720" s="109"/>
      <c r="Q720" s="109"/>
    </row>
    <row r="721" spans="1:17" ht="13.2">
      <c r="A721" s="82"/>
      <c r="B721" s="50"/>
      <c r="D721" s="82"/>
      <c r="K721" s="214"/>
      <c r="M721" s="109"/>
      <c r="O721" s="109"/>
      <c r="Q721" s="109"/>
    </row>
    <row r="722" spans="1:17" ht="13.2">
      <c r="A722" s="82"/>
      <c r="B722" s="50"/>
      <c r="D722" s="82"/>
      <c r="K722" s="214"/>
      <c r="M722" s="109"/>
      <c r="O722" s="109"/>
      <c r="Q722" s="109"/>
    </row>
    <row r="723" spans="1:17" ht="13.2">
      <c r="A723" s="82"/>
      <c r="B723" s="50"/>
      <c r="D723" s="82"/>
      <c r="K723" s="214"/>
      <c r="M723" s="109"/>
      <c r="O723" s="109"/>
      <c r="Q723" s="109"/>
    </row>
    <row r="724" spans="1:17" ht="13.2">
      <c r="A724" s="82"/>
      <c r="B724" s="50"/>
      <c r="D724" s="82"/>
      <c r="K724" s="214"/>
      <c r="M724" s="109"/>
      <c r="O724" s="109"/>
      <c r="Q724" s="109"/>
    </row>
    <row r="725" spans="1:17" ht="13.2">
      <c r="A725" s="82"/>
      <c r="B725" s="50"/>
      <c r="D725" s="82"/>
      <c r="K725" s="214"/>
      <c r="M725" s="109"/>
      <c r="O725" s="109"/>
      <c r="Q725" s="109"/>
    </row>
    <row r="726" spans="1:17" ht="13.2">
      <c r="A726" s="82"/>
      <c r="B726" s="50"/>
      <c r="D726" s="82"/>
      <c r="K726" s="214"/>
      <c r="M726" s="109"/>
      <c r="O726" s="109"/>
      <c r="Q726" s="109"/>
    </row>
    <row r="727" spans="1:17" ht="13.2">
      <c r="A727" s="82"/>
      <c r="B727" s="50"/>
      <c r="D727" s="82"/>
      <c r="K727" s="214"/>
      <c r="M727" s="109"/>
      <c r="O727" s="109"/>
      <c r="Q727" s="109"/>
    </row>
    <row r="728" spans="1:17" ht="13.2">
      <c r="A728" s="82"/>
      <c r="B728" s="50"/>
      <c r="D728" s="82"/>
      <c r="K728" s="214"/>
      <c r="M728" s="109"/>
      <c r="O728" s="109"/>
      <c r="Q728" s="109"/>
    </row>
    <row r="729" spans="1:17" ht="13.2">
      <c r="A729" s="82"/>
      <c r="B729" s="50"/>
      <c r="D729" s="82"/>
      <c r="K729" s="214"/>
      <c r="M729" s="109"/>
      <c r="O729" s="109"/>
      <c r="Q729" s="109"/>
    </row>
    <row r="730" spans="1:17" ht="13.2">
      <c r="A730" s="82"/>
      <c r="B730" s="50"/>
      <c r="D730" s="82"/>
      <c r="K730" s="214"/>
      <c r="M730" s="109"/>
      <c r="O730" s="109"/>
      <c r="Q730" s="109"/>
    </row>
    <row r="731" spans="1:17" ht="13.2">
      <c r="A731" s="82"/>
      <c r="B731" s="50"/>
      <c r="D731" s="82"/>
      <c r="K731" s="214"/>
      <c r="M731" s="109"/>
      <c r="O731" s="109"/>
      <c r="Q731" s="109"/>
    </row>
    <row r="732" spans="1:17" ht="13.2">
      <c r="A732" s="82"/>
      <c r="B732" s="50"/>
      <c r="D732" s="82"/>
      <c r="K732" s="214"/>
      <c r="M732" s="109"/>
      <c r="O732" s="109"/>
      <c r="Q732" s="109"/>
    </row>
    <row r="733" spans="1:17" ht="13.2">
      <c r="A733" s="82"/>
      <c r="B733" s="50"/>
      <c r="D733" s="82"/>
      <c r="K733" s="214"/>
      <c r="M733" s="109"/>
      <c r="O733" s="109"/>
      <c r="Q733" s="109"/>
    </row>
    <row r="734" spans="1:17" ht="13.2">
      <c r="A734" s="82"/>
      <c r="B734" s="50"/>
      <c r="D734" s="82"/>
      <c r="K734" s="214"/>
      <c r="M734" s="109"/>
      <c r="O734" s="109"/>
      <c r="Q734" s="109"/>
    </row>
    <row r="735" spans="1:17" ht="13.2">
      <c r="A735" s="82"/>
      <c r="B735" s="50"/>
      <c r="D735" s="82"/>
      <c r="K735" s="214"/>
      <c r="M735" s="109"/>
      <c r="O735" s="109"/>
      <c r="Q735" s="109"/>
    </row>
    <row r="736" spans="1:17" ht="13.2">
      <c r="A736" s="82"/>
      <c r="B736" s="50"/>
      <c r="D736" s="82"/>
      <c r="K736" s="214"/>
      <c r="M736" s="109"/>
      <c r="O736" s="109"/>
      <c r="Q736" s="109"/>
    </row>
    <row r="737" spans="1:17" ht="13.2">
      <c r="A737" s="82"/>
      <c r="B737" s="50"/>
      <c r="D737" s="82"/>
      <c r="K737" s="214"/>
      <c r="M737" s="109"/>
      <c r="O737" s="109"/>
      <c r="Q737" s="109"/>
    </row>
    <row r="738" spans="1:17" ht="13.2">
      <c r="A738" s="82"/>
      <c r="B738" s="50"/>
      <c r="D738" s="82"/>
      <c r="K738" s="214"/>
      <c r="M738" s="109"/>
      <c r="O738" s="109"/>
      <c r="Q738" s="109"/>
    </row>
    <row r="739" spans="1:17" ht="13.2">
      <c r="A739" s="82"/>
      <c r="B739" s="50"/>
      <c r="D739" s="82"/>
      <c r="K739" s="214"/>
      <c r="M739" s="109"/>
      <c r="O739" s="109"/>
      <c r="Q739" s="109"/>
    </row>
    <row r="740" spans="1:17" ht="13.2">
      <c r="A740" s="82"/>
      <c r="B740" s="50"/>
      <c r="D740" s="82"/>
      <c r="K740" s="214"/>
      <c r="M740" s="109"/>
      <c r="O740" s="109"/>
      <c r="Q740" s="109"/>
    </row>
    <row r="741" spans="1:17" ht="13.2">
      <c r="A741" s="82"/>
      <c r="B741" s="50"/>
      <c r="D741" s="82"/>
      <c r="K741" s="214"/>
      <c r="M741" s="109"/>
      <c r="O741" s="109"/>
      <c r="Q741" s="109"/>
    </row>
    <row r="742" spans="1:17" ht="13.2">
      <c r="A742" s="82"/>
      <c r="B742" s="50"/>
      <c r="D742" s="82"/>
      <c r="K742" s="214"/>
      <c r="M742" s="109"/>
      <c r="O742" s="109"/>
      <c r="Q742" s="109"/>
    </row>
    <row r="743" spans="1:17" ht="13.2">
      <c r="A743" s="82"/>
      <c r="B743" s="50"/>
      <c r="D743" s="82"/>
      <c r="K743" s="214"/>
      <c r="M743" s="109"/>
      <c r="O743" s="109"/>
      <c r="Q743" s="109"/>
    </row>
    <row r="744" spans="1:17" ht="13.2">
      <c r="A744" s="82"/>
      <c r="B744" s="50"/>
      <c r="D744" s="82"/>
      <c r="K744" s="214"/>
      <c r="M744" s="109"/>
      <c r="O744" s="109"/>
      <c r="Q744" s="109"/>
    </row>
    <row r="745" spans="1:17" ht="13.2">
      <c r="A745" s="82"/>
      <c r="B745" s="50"/>
      <c r="D745" s="82"/>
      <c r="K745" s="214"/>
      <c r="M745" s="109"/>
      <c r="O745" s="109"/>
      <c r="Q745" s="109"/>
    </row>
    <row r="746" spans="1:17" ht="13.2">
      <c r="A746" s="82"/>
      <c r="B746" s="50"/>
      <c r="D746" s="82"/>
      <c r="K746" s="214"/>
      <c r="M746" s="109"/>
      <c r="O746" s="109"/>
      <c r="Q746" s="109"/>
    </row>
    <row r="747" spans="1:17" ht="13.2">
      <c r="A747" s="82"/>
      <c r="B747" s="50"/>
      <c r="D747" s="82"/>
      <c r="K747" s="214"/>
      <c r="M747" s="109"/>
      <c r="O747" s="109"/>
      <c r="Q747" s="109"/>
    </row>
    <row r="748" spans="1:17" ht="13.2">
      <c r="A748" s="82"/>
      <c r="B748" s="50"/>
      <c r="D748" s="82"/>
      <c r="K748" s="214"/>
      <c r="M748" s="109"/>
      <c r="O748" s="109"/>
      <c r="Q748" s="109"/>
    </row>
    <row r="749" spans="1:17" ht="13.2">
      <c r="A749" s="82"/>
      <c r="B749" s="50"/>
      <c r="D749" s="82"/>
      <c r="K749" s="214"/>
      <c r="M749" s="109"/>
      <c r="O749" s="109"/>
      <c r="Q749" s="109"/>
    </row>
    <row r="750" spans="1:17" ht="13.2">
      <c r="A750" s="82"/>
      <c r="B750" s="50"/>
      <c r="D750" s="82"/>
      <c r="K750" s="214"/>
      <c r="M750" s="109"/>
      <c r="O750" s="109"/>
      <c r="Q750" s="109"/>
    </row>
    <row r="751" spans="1:17" ht="13.2">
      <c r="A751" s="82"/>
      <c r="B751" s="50"/>
      <c r="D751" s="82"/>
      <c r="K751" s="214"/>
      <c r="M751" s="109"/>
      <c r="O751" s="109"/>
      <c r="Q751" s="109"/>
    </row>
    <row r="752" spans="1:17" ht="13.2">
      <c r="A752" s="82"/>
      <c r="B752" s="50"/>
      <c r="D752" s="82"/>
      <c r="K752" s="214"/>
      <c r="M752" s="109"/>
      <c r="O752" s="109"/>
      <c r="Q752" s="109"/>
    </row>
    <row r="753" spans="1:17" ht="13.2">
      <c r="A753" s="82"/>
      <c r="B753" s="50"/>
      <c r="D753" s="82"/>
      <c r="K753" s="214"/>
      <c r="M753" s="109"/>
      <c r="O753" s="109"/>
      <c r="Q753" s="109"/>
    </row>
    <row r="754" spans="1:17" ht="13.2">
      <c r="A754" s="82"/>
      <c r="B754" s="50"/>
      <c r="D754" s="82"/>
      <c r="K754" s="214"/>
      <c r="M754" s="109"/>
      <c r="O754" s="109"/>
      <c r="Q754" s="109"/>
    </row>
    <row r="755" spans="1:17" ht="13.2">
      <c r="A755" s="82"/>
      <c r="B755" s="50"/>
      <c r="D755" s="82"/>
      <c r="K755" s="214"/>
      <c r="M755" s="109"/>
      <c r="O755" s="109"/>
      <c r="Q755" s="109"/>
    </row>
    <row r="756" spans="1:17" ht="13.2">
      <c r="A756" s="82"/>
      <c r="B756" s="50"/>
      <c r="D756" s="82"/>
      <c r="K756" s="214"/>
      <c r="M756" s="109"/>
      <c r="O756" s="109"/>
      <c r="Q756" s="109"/>
    </row>
    <row r="757" spans="1:17" ht="13.2">
      <c r="A757" s="82"/>
      <c r="B757" s="50"/>
      <c r="D757" s="82"/>
      <c r="K757" s="214"/>
      <c r="M757" s="109"/>
      <c r="O757" s="109"/>
      <c r="Q757" s="109"/>
    </row>
    <row r="758" spans="1:17" ht="13.2">
      <c r="A758" s="82"/>
      <c r="B758" s="50"/>
      <c r="D758" s="82"/>
      <c r="K758" s="214"/>
      <c r="M758" s="109"/>
      <c r="O758" s="109"/>
      <c r="Q758" s="109"/>
    </row>
    <row r="759" spans="1:17" ht="13.2">
      <c r="A759" s="82"/>
      <c r="B759" s="50"/>
      <c r="D759" s="82"/>
      <c r="K759" s="214"/>
      <c r="M759" s="109"/>
      <c r="O759" s="109"/>
      <c r="Q759" s="109"/>
    </row>
    <row r="760" spans="1:17" ht="13.2">
      <c r="A760" s="82"/>
      <c r="B760" s="50"/>
      <c r="D760" s="82"/>
      <c r="K760" s="214"/>
      <c r="M760" s="109"/>
      <c r="O760" s="109"/>
      <c r="Q760" s="109"/>
    </row>
    <row r="761" spans="1:17" ht="13.2">
      <c r="A761" s="82"/>
      <c r="B761" s="50"/>
      <c r="D761" s="82"/>
      <c r="K761" s="214"/>
      <c r="M761" s="109"/>
      <c r="O761" s="109"/>
      <c r="Q761" s="109"/>
    </row>
    <row r="762" spans="1:17" ht="13.2">
      <c r="A762" s="82"/>
      <c r="B762" s="50"/>
      <c r="D762" s="82"/>
      <c r="K762" s="214"/>
      <c r="M762" s="109"/>
      <c r="O762" s="109"/>
      <c r="Q762" s="109"/>
    </row>
    <row r="763" spans="1:17" ht="13.2">
      <c r="A763" s="82"/>
      <c r="B763" s="50"/>
      <c r="D763" s="82"/>
      <c r="K763" s="214"/>
      <c r="M763" s="109"/>
      <c r="O763" s="109"/>
      <c r="Q763" s="109"/>
    </row>
    <row r="764" spans="1:17" ht="13.2">
      <c r="A764" s="82"/>
      <c r="B764" s="50"/>
      <c r="D764" s="82"/>
      <c r="K764" s="214"/>
      <c r="M764" s="109"/>
      <c r="O764" s="109"/>
      <c r="Q764" s="109"/>
    </row>
    <row r="765" spans="1:17" ht="13.2">
      <c r="A765" s="82"/>
      <c r="B765" s="50"/>
      <c r="D765" s="82"/>
      <c r="K765" s="214"/>
      <c r="M765" s="109"/>
      <c r="O765" s="109"/>
      <c r="Q765" s="109"/>
    </row>
    <row r="766" spans="1:17" ht="13.2">
      <c r="A766" s="82"/>
      <c r="B766" s="50"/>
      <c r="D766" s="82"/>
      <c r="K766" s="214"/>
      <c r="M766" s="109"/>
      <c r="O766" s="109"/>
      <c r="Q766" s="109"/>
    </row>
    <row r="767" spans="1:17" ht="13.2">
      <c r="A767" s="82"/>
      <c r="B767" s="50"/>
      <c r="D767" s="82"/>
      <c r="K767" s="214"/>
      <c r="M767" s="109"/>
      <c r="O767" s="109"/>
      <c r="Q767" s="109"/>
    </row>
    <row r="768" spans="1:17" ht="13.2">
      <c r="A768" s="82"/>
      <c r="B768" s="50"/>
      <c r="D768" s="82"/>
      <c r="K768" s="214"/>
      <c r="M768" s="109"/>
      <c r="O768" s="109"/>
      <c r="Q768" s="109"/>
    </row>
    <row r="769" spans="1:17" ht="13.2">
      <c r="A769" s="82"/>
      <c r="B769" s="50"/>
      <c r="D769" s="82"/>
      <c r="K769" s="214"/>
      <c r="M769" s="109"/>
      <c r="O769" s="109"/>
      <c r="Q769" s="109"/>
    </row>
    <row r="770" spans="1:17" ht="13.2">
      <c r="A770" s="82"/>
      <c r="B770" s="50"/>
      <c r="D770" s="82"/>
      <c r="K770" s="214"/>
      <c r="M770" s="109"/>
      <c r="O770" s="109"/>
      <c r="Q770" s="109"/>
    </row>
    <row r="771" spans="1:17" ht="13.2">
      <c r="A771" s="82"/>
      <c r="B771" s="50"/>
      <c r="D771" s="82"/>
      <c r="K771" s="214"/>
      <c r="M771" s="109"/>
      <c r="O771" s="109"/>
      <c r="Q771" s="109"/>
    </row>
    <row r="772" spans="1:17" ht="13.2">
      <c r="A772" s="82"/>
      <c r="B772" s="50"/>
      <c r="D772" s="82"/>
      <c r="K772" s="214"/>
      <c r="M772" s="109"/>
      <c r="O772" s="109"/>
      <c r="Q772" s="109"/>
    </row>
    <row r="773" spans="1:17" ht="13.2">
      <c r="A773" s="82"/>
      <c r="B773" s="50"/>
      <c r="D773" s="82"/>
      <c r="K773" s="214"/>
      <c r="M773" s="109"/>
      <c r="O773" s="109"/>
      <c r="Q773" s="109"/>
    </row>
    <row r="774" spans="1:17" ht="13.2">
      <c r="A774" s="82"/>
      <c r="B774" s="50"/>
      <c r="D774" s="82"/>
      <c r="K774" s="214"/>
      <c r="M774" s="109"/>
      <c r="O774" s="109"/>
      <c r="Q774" s="109"/>
    </row>
    <row r="775" spans="1:17" ht="13.2">
      <c r="A775" s="82"/>
      <c r="B775" s="50"/>
      <c r="D775" s="82"/>
      <c r="K775" s="214"/>
      <c r="M775" s="109"/>
      <c r="O775" s="109"/>
      <c r="Q775" s="109"/>
    </row>
    <row r="776" spans="1:17" ht="13.2">
      <c r="A776" s="82"/>
      <c r="B776" s="50"/>
      <c r="D776" s="82"/>
      <c r="K776" s="214"/>
      <c r="M776" s="109"/>
      <c r="O776" s="109"/>
      <c r="Q776" s="109"/>
    </row>
    <row r="777" spans="1:17" ht="13.2">
      <c r="A777" s="82"/>
      <c r="B777" s="50"/>
      <c r="D777" s="82"/>
      <c r="K777" s="214"/>
      <c r="M777" s="109"/>
      <c r="O777" s="109"/>
      <c r="Q777" s="109"/>
    </row>
    <row r="778" spans="1:17" ht="13.2">
      <c r="A778" s="82"/>
      <c r="B778" s="50"/>
      <c r="D778" s="82"/>
      <c r="K778" s="214"/>
      <c r="M778" s="109"/>
      <c r="O778" s="109"/>
      <c r="Q778" s="109"/>
    </row>
    <row r="779" spans="1:17" ht="13.2">
      <c r="A779" s="82"/>
      <c r="B779" s="50"/>
      <c r="D779" s="82"/>
      <c r="K779" s="214"/>
      <c r="M779" s="109"/>
      <c r="O779" s="109"/>
      <c r="Q779" s="109"/>
    </row>
    <row r="780" spans="1:17" ht="13.2">
      <c r="A780" s="82"/>
      <c r="B780" s="50"/>
      <c r="D780" s="82"/>
      <c r="K780" s="214"/>
      <c r="M780" s="109"/>
      <c r="O780" s="109"/>
      <c r="Q780" s="109"/>
    </row>
    <row r="781" spans="1:17" ht="13.2">
      <c r="A781" s="82"/>
      <c r="B781" s="50"/>
      <c r="D781" s="82"/>
      <c r="K781" s="214"/>
      <c r="M781" s="109"/>
      <c r="O781" s="109"/>
      <c r="Q781" s="109"/>
    </row>
    <row r="782" spans="1:17" ht="13.2">
      <c r="A782" s="82"/>
      <c r="B782" s="50"/>
      <c r="D782" s="82"/>
      <c r="K782" s="214"/>
      <c r="M782" s="109"/>
      <c r="O782" s="109"/>
      <c r="Q782" s="109"/>
    </row>
    <row r="783" spans="1:17" ht="13.2">
      <c r="A783" s="82"/>
      <c r="B783" s="50"/>
      <c r="D783" s="82"/>
      <c r="K783" s="214"/>
      <c r="M783" s="109"/>
      <c r="O783" s="109"/>
      <c r="Q783" s="109"/>
    </row>
    <row r="784" spans="1:17" ht="13.2">
      <c r="A784" s="82"/>
      <c r="B784" s="50"/>
      <c r="D784" s="82"/>
      <c r="K784" s="214"/>
      <c r="M784" s="109"/>
      <c r="O784" s="109"/>
      <c r="Q784" s="109"/>
    </row>
    <row r="785" spans="1:17" ht="13.2">
      <c r="A785" s="82"/>
      <c r="B785" s="50"/>
      <c r="D785" s="82"/>
      <c r="K785" s="214"/>
      <c r="M785" s="109"/>
      <c r="O785" s="109"/>
      <c r="Q785" s="109"/>
    </row>
    <row r="786" spans="1:17" ht="13.2">
      <c r="A786" s="82"/>
      <c r="B786" s="50"/>
      <c r="D786" s="82"/>
      <c r="K786" s="214"/>
      <c r="M786" s="109"/>
      <c r="O786" s="109"/>
      <c r="Q786" s="109"/>
    </row>
    <row r="787" spans="1:17" ht="13.2">
      <c r="A787" s="82"/>
      <c r="B787" s="50"/>
      <c r="D787" s="82"/>
      <c r="K787" s="214"/>
      <c r="M787" s="109"/>
      <c r="O787" s="109"/>
      <c r="Q787" s="109"/>
    </row>
    <row r="788" spans="1:17" ht="13.2">
      <c r="A788" s="82"/>
      <c r="B788" s="50"/>
      <c r="D788" s="82"/>
      <c r="K788" s="214"/>
      <c r="M788" s="109"/>
      <c r="O788" s="109"/>
      <c r="Q788" s="109"/>
    </row>
    <row r="789" spans="1:17" ht="13.2">
      <c r="A789" s="82"/>
      <c r="B789" s="50"/>
      <c r="D789" s="82"/>
      <c r="K789" s="214"/>
      <c r="M789" s="109"/>
      <c r="O789" s="109"/>
      <c r="Q789" s="109"/>
    </row>
    <row r="790" spans="1:17" ht="13.2">
      <c r="A790" s="82"/>
      <c r="B790" s="50"/>
      <c r="D790" s="82"/>
      <c r="K790" s="214"/>
      <c r="M790" s="109"/>
      <c r="O790" s="109"/>
      <c r="Q790" s="109"/>
    </row>
    <row r="791" spans="1:17" ht="13.2">
      <c r="A791" s="82"/>
      <c r="B791" s="50"/>
      <c r="D791" s="82"/>
      <c r="K791" s="214"/>
      <c r="M791" s="109"/>
      <c r="O791" s="109"/>
      <c r="Q791" s="109"/>
    </row>
    <row r="792" spans="1:17" ht="13.2">
      <c r="A792" s="82"/>
      <c r="B792" s="50"/>
      <c r="D792" s="82"/>
      <c r="K792" s="214"/>
      <c r="M792" s="109"/>
      <c r="O792" s="109"/>
      <c r="Q792" s="109"/>
    </row>
    <row r="793" spans="1:17" ht="13.2">
      <c r="A793" s="82"/>
      <c r="B793" s="50"/>
      <c r="D793" s="82"/>
      <c r="K793" s="214"/>
      <c r="M793" s="109"/>
      <c r="O793" s="109"/>
      <c r="Q793" s="109"/>
    </row>
    <row r="794" spans="1:17" ht="13.2">
      <c r="A794" s="82"/>
      <c r="B794" s="50"/>
      <c r="D794" s="82"/>
      <c r="K794" s="214"/>
      <c r="M794" s="109"/>
      <c r="O794" s="109"/>
      <c r="Q794" s="109"/>
    </row>
    <row r="795" spans="1:17" ht="13.2">
      <c r="A795" s="82"/>
      <c r="B795" s="50"/>
      <c r="D795" s="82"/>
      <c r="K795" s="214"/>
      <c r="M795" s="109"/>
      <c r="O795" s="109"/>
      <c r="Q795" s="109"/>
    </row>
    <row r="796" spans="1:17" ht="13.2">
      <c r="A796" s="82"/>
      <c r="B796" s="50"/>
      <c r="D796" s="82"/>
      <c r="K796" s="214"/>
      <c r="M796" s="109"/>
      <c r="O796" s="109"/>
      <c r="Q796" s="109"/>
    </row>
    <row r="797" spans="1:17" ht="13.2">
      <c r="A797" s="82"/>
      <c r="B797" s="50"/>
      <c r="D797" s="82"/>
      <c r="K797" s="214"/>
      <c r="M797" s="109"/>
      <c r="O797" s="109"/>
      <c r="Q797" s="109"/>
    </row>
    <row r="798" spans="1:17" ht="13.2">
      <c r="A798" s="82"/>
      <c r="B798" s="50"/>
      <c r="D798" s="82"/>
      <c r="K798" s="214"/>
      <c r="M798" s="109"/>
      <c r="O798" s="109"/>
      <c r="Q798" s="109"/>
    </row>
    <row r="799" spans="1:17" ht="13.2">
      <c r="A799" s="82"/>
      <c r="B799" s="50"/>
      <c r="D799" s="82"/>
      <c r="K799" s="214"/>
      <c r="M799" s="109"/>
      <c r="O799" s="109"/>
      <c r="Q799" s="109"/>
    </row>
    <row r="800" spans="1:17" ht="13.2">
      <c r="A800" s="82"/>
      <c r="B800" s="50"/>
      <c r="D800" s="82"/>
      <c r="K800" s="214"/>
      <c r="M800" s="109"/>
      <c r="O800" s="109"/>
      <c r="Q800" s="109"/>
    </row>
    <row r="801" spans="1:17" ht="13.2">
      <c r="A801" s="82"/>
      <c r="B801" s="50"/>
      <c r="D801" s="82"/>
      <c r="K801" s="214"/>
      <c r="M801" s="109"/>
      <c r="O801" s="109"/>
      <c r="Q801" s="109"/>
    </row>
    <row r="802" spans="1:17" ht="13.2">
      <c r="A802" s="82"/>
      <c r="B802" s="50"/>
      <c r="D802" s="82"/>
      <c r="K802" s="214"/>
      <c r="M802" s="109"/>
      <c r="O802" s="109"/>
      <c r="Q802" s="109"/>
    </row>
    <row r="803" spans="1:17" ht="13.2">
      <c r="A803" s="82"/>
      <c r="B803" s="50"/>
      <c r="D803" s="82"/>
      <c r="K803" s="214"/>
      <c r="M803" s="109"/>
      <c r="O803" s="109"/>
      <c r="Q803" s="109"/>
    </row>
    <row r="804" spans="1:17" ht="13.2">
      <c r="A804" s="82"/>
      <c r="B804" s="50"/>
      <c r="D804" s="82"/>
      <c r="K804" s="214"/>
      <c r="M804" s="109"/>
      <c r="O804" s="109"/>
      <c r="Q804" s="109"/>
    </row>
    <row r="805" spans="1:17" ht="13.2">
      <c r="A805" s="82"/>
      <c r="B805" s="50"/>
      <c r="D805" s="82"/>
      <c r="K805" s="214"/>
      <c r="M805" s="109"/>
      <c r="O805" s="109"/>
      <c r="Q805" s="109"/>
    </row>
    <row r="806" spans="1:17" ht="13.2">
      <c r="A806" s="82"/>
      <c r="B806" s="50"/>
      <c r="D806" s="82"/>
      <c r="K806" s="214"/>
      <c r="M806" s="109"/>
      <c r="O806" s="109"/>
      <c r="Q806" s="109"/>
    </row>
    <row r="807" spans="1:17" ht="13.2">
      <c r="A807" s="82"/>
      <c r="B807" s="50"/>
      <c r="D807" s="82"/>
      <c r="K807" s="214"/>
      <c r="M807" s="109"/>
      <c r="O807" s="109"/>
      <c r="Q807" s="109"/>
    </row>
    <row r="808" spans="1:17" ht="13.2">
      <c r="A808" s="82"/>
      <c r="B808" s="50"/>
      <c r="D808" s="82"/>
      <c r="K808" s="214"/>
      <c r="M808" s="109"/>
      <c r="O808" s="109"/>
      <c r="Q808" s="109"/>
    </row>
    <row r="809" spans="1:17" ht="13.2">
      <c r="A809" s="82"/>
      <c r="B809" s="50"/>
      <c r="D809" s="82"/>
      <c r="K809" s="214"/>
      <c r="M809" s="109"/>
      <c r="O809" s="109"/>
      <c r="Q809" s="109"/>
    </row>
    <row r="810" spans="1:17" ht="13.2">
      <c r="A810" s="82"/>
      <c r="B810" s="50"/>
      <c r="D810" s="82"/>
      <c r="K810" s="214"/>
      <c r="M810" s="109"/>
      <c r="O810" s="109"/>
      <c r="Q810" s="109"/>
    </row>
    <row r="811" spans="1:17" ht="13.2">
      <c r="A811" s="82"/>
      <c r="B811" s="50"/>
      <c r="D811" s="82"/>
      <c r="K811" s="214"/>
      <c r="M811" s="109"/>
      <c r="O811" s="109"/>
      <c r="Q811" s="109"/>
    </row>
    <row r="812" spans="1:17" ht="13.2">
      <c r="A812" s="82"/>
      <c r="B812" s="50"/>
      <c r="D812" s="82"/>
      <c r="K812" s="214"/>
      <c r="M812" s="109"/>
      <c r="O812" s="109"/>
      <c r="Q812" s="109"/>
    </row>
    <row r="813" spans="1:17" ht="13.2">
      <c r="A813" s="82"/>
      <c r="B813" s="50"/>
      <c r="D813" s="82"/>
      <c r="K813" s="214"/>
      <c r="M813" s="109"/>
      <c r="O813" s="109"/>
      <c r="Q813" s="109"/>
    </row>
    <row r="814" spans="1:17" ht="13.2">
      <c r="A814" s="82"/>
      <c r="B814" s="50"/>
      <c r="D814" s="82"/>
      <c r="K814" s="214"/>
      <c r="M814" s="109"/>
      <c r="O814" s="109"/>
      <c r="Q814" s="109"/>
    </row>
    <row r="815" spans="1:17" ht="13.2">
      <c r="A815" s="82"/>
      <c r="B815" s="50"/>
      <c r="D815" s="82"/>
      <c r="K815" s="214"/>
      <c r="M815" s="109"/>
      <c r="O815" s="109"/>
      <c r="Q815" s="109"/>
    </row>
    <row r="816" spans="1:17" ht="13.2">
      <c r="A816" s="82"/>
      <c r="B816" s="50"/>
      <c r="D816" s="82"/>
      <c r="K816" s="214"/>
      <c r="M816" s="109"/>
      <c r="O816" s="109"/>
      <c r="Q816" s="109"/>
    </row>
    <row r="817" spans="1:17" ht="13.2">
      <c r="A817" s="82"/>
      <c r="B817" s="50"/>
      <c r="D817" s="82"/>
      <c r="K817" s="214"/>
      <c r="M817" s="109"/>
      <c r="O817" s="109"/>
      <c r="Q817" s="109"/>
    </row>
    <row r="818" spans="1:17" ht="13.2">
      <c r="A818" s="82"/>
      <c r="B818" s="50"/>
      <c r="D818" s="82"/>
      <c r="K818" s="214"/>
      <c r="M818" s="109"/>
      <c r="O818" s="109"/>
      <c r="Q818" s="109"/>
    </row>
    <row r="819" spans="1:17" ht="13.2">
      <c r="A819" s="82"/>
      <c r="B819" s="50"/>
      <c r="D819" s="82"/>
      <c r="K819" s="214"/>
      <c r="M819" s="109"/>
      <c r="O819" s="109"/>
      <c r="Q819" s="109"/>
    </row>
    <row r="820" spans="1:17" ht="13.2">
      <c r="A820" s="82"/>
      <c r="B820" s="50"/>
      <c r="D820" s="82"/>
      <c r="K820" s="214"/>
      <c r="M820" s="109"/>
      <c r="O820" s="109"/>
      <c r="Q820" s="109"/>
    </row>
    <row r="821" spans="1:17" ht="13.2">
      <c r="A821" s="82"/>
      <c r="B821" s="50"/>
      <c r="D821" s="82"/>
      <c r="K821" s="214"/>
      <c r="M821" s="109"/>
      <c r="O821" s="109"/>
      <c r="Q821" s="109"/>
    </row>
    <row r="822" spans="1:17" ht="13.2">
      <c r="A822" s="82"/>
      <c r="B822" s="50"/>
      <c r="D822" s="82"/>
      <c r="K822" s="214"/>
      <c r="M822" s="109"/>
      <c r="O822" s="109"/>
      <c r="Q822" s="109"/>
    </row>
    <row r="823" spans="1:17" ht="13.2">
      <c r="A823" s="82"/>
      <c r="B823" s="50"/>
      <c r="D823" s="82"/>
      <c r="K823" s="214"/>
      <c r="M823" s="109"/>
      <c r="O823" s="109"/>
      <c r="Q823" s="109"/>
    </row>
    <row r="824" spans="1:17" ht="13.2">
      <c r="A824" s="82"/>
      <c r="B824" s="50"/>
      <c r="D824" s="82"/>
      <c r="K824" s="214"/>
      <c r="M824" s="109"/>
      <c r="O824" s="109"/>
      <c r="Q824" s="109"/>
    </row>
    <row r="825" spans="1:17" ht="13.2">
      <c r="A825" s="82"/>
      <c r="B825" s="50"/>
      <c r="D825" s="82"/>
      <c r="K825" s="214"/>
      <c r="M825" s="109"/>
      <c r="O825" s="109"/>
      <c r="Q825" s="109"/>
    </row>
    <row r="826" spans="1:17" ht="13.2">
      <c r="A826" s="82"/>
      <c r="B826" s="50"/>
      <c r="D826" s="82"/>
      <c r="K826" s="214"/>
      <c r="M826" s="109"/>
      <c r="O826" s="109"/>
      <c r="Q826" s="109"/>
    </row>
    <row r="827" spans="1:17" ht="13.2">
      <c r="A827" s="82"/>
      <c r="B827" s="50"/>
      <c r="D827" s="82"/>
      <c r="K827" s="214"/>
      <c r="M827" s="109"/>
      <c r="O827" s="109"/>
      <c r="Q827" s="109"/>
    </row>
    <row r="828" spans="1:17" ht="13.2">
      <c r="A828" s="82"/>
      <c r="B828" s="50"/>
      <c r="D828" s="82"/>
      <c r="K828" s="214"/>
      <c r="M828" s="109"/>
      <c r="O828" s="109"/>
      <c r="Q828" s="109"/>
    </row>
    <row r="829" spans="1:17" ht="13.2">
      <c r="A829" s="82"/>
      <c r="B829" s="50"/>
      <c r="D829" s="82"/>
      <c r="K829" s="214"/>
      <c r="M829" s="109"/>
      <c r="O829" s="109"/>
      <c r="Q829" s="109"/>
    </row>
    <row r="830" spans="1:17" ht="13.2">
      <c r="A830" s="82"/>
      <c r="B830" s="50"/>
      <c r="D830" s="82"/>
      <c r="K830" s="214"/>
      <c r="M830" s="109"/>
      <c r="O830" s="109"/>
      <c r="Q830" s="109"/>
    </row>
    <row r="831" spans="1:17" ht="13.2">
      <c r="A831" s="82"/>
      <c r="B831" s="50"/>
      <c r="D831" s="82"/>
      <c r="K831" s="214"/>
      <c r="M831" s="109"/>
      <c r="O831" s="109"/>
      <c r="Q831" s="109"/>
    </row>
    <row r="832" spans="1:17" ht="13.2">
      <c r="A832" s="82"/>
      <c r="B832" s="50"/>
      <c r="D832" s="82"/>
      <c r="K832" s="214"/>
      <c r="M832" s="109"/>
      <c r="O832" s="109"/>
      <c r="Q832" s="109"/>
    </row>
    <row r="833" spans="1:17" ht="13.2">
      <c r="A833" s="82"/>
      <c r="B833" s="50"/>
      <c r="D833" s="82"/>
      <c r="K833" s="214"/>
      <c r="M833" s="109"/>
      <c r="O833" s="109"/>
      <c r="Q833" s="109"/>
    </row>
    <row r="834" spans="1:17" ht="13.2">
      <c r="A834" s="82"/>
      <c r="B834" s="50"/>
      <c r="D834" s="82"/>
      <c r="K834" s="214"/>
      <c r="M834" s="109"/>
      <c r="O834" s="109"/>
      <c r="Q834" s="109"/>
    </row>
    <row r="835" spans="1:17" ht="13.2">
      <c r="A835" s="82"/>
      <c r="B835" s="50"/>
      <c r="D835" s="82"/>
      <c r="K835" s="214"/>
      <c r="M835" s="109"/>
      <c r="O835" s="109"/>
      <c r="Q835" s="109"/>
    </row>
    <row r="836" spans="1:17" ht="13.2">
      <c r="A836" s="82"/>
      <c r="B836" s="50"/>
      <c r="D836" s="82"/>
      <c r="K836" s="214"/>
      <c r="M836" s="109"/>
      <c r="O836" s="109"/>
      <c r="Q836" s="109"/>
    </row>
    <row r="837" spans="1:17" ht="13.2">
      <c r="A837" s="82"/>
      <c r="B837" s="50"/>
      <c r="D837" s="82"/>
      <c r="K837" s="214"/>
      <c r="M837" s="109"/>
      <c r="O837" s="109"/>
      <c r="Q837" s="109"/>
    </row>
    <row r="838" spans="1:17" ht="13.2">
      <c r="A838" s="82"/>
      <c r="B838" s="50"/>
      <c r="D838" s="82"/>
      <c r="K838" s="214"/>
      <c r="M838" s="109"/>
      <c r="O838" s="109"/>
      <c r="Q838" s="109"/>
    </row>
    <row r="839" spans="1:17" ht="13.2">
      <c r="A839" s="82"/>
      <c r="B839" s="50"/>
      <c r="D839" s="82"/>
      <c r="K839" s="214"/>
      <c r="M839" s="109"/>
      <c r="O839" s="109"/>
      <c r="Q839" s="109"/>
    </row>
    <row r="840" spans="1:17" ht="13.2">
      <c r="A840" s="82"/>
      <c r="B840" s="50"/>
      <c r="D840" s="82"/>
      <c r="K840" s="214"/>
      <c r="M840" s="109"/>
      <c r="O840" s="109"/>
      <c r="Q840" s="109"/>
    </row>
    <row r="841" spans="1:17" ht="13.2">
      <c r="A841" s="82"/>
      <c r="B841" s="50"/>
      <c r="D841" s="82"/>
      <c r="K841" s="214"/>
      <c r="M841" s="109"/>
      <c r="O841" s="109"/>
      <c r="Q841" s="109"/>
    </row>
    <row r="842" spans="1:17" ht="13.2">
      <c r="A842" s="82"/>
      <c r="B842" s="50"/>
      <c r="D842" s="82"/>
      <c r="K842" s="214"/>
      <c r="M842" s="109"/>
      <c r="O842" s="109"/>
      <c r="Q842" s="109"/>
    </row>
    <row r="843" spans="1:17" ht="13.2">
      <c r="A843" s="82"/>
      <c r="B843" s="50"/>
      <c r="D843" s="82"/>
      <c r="K843" s="214"/>
      <c r="M843" s="109"/>
      <c r="O843" s="109"/>
      <c r="Q843" s="109"/>
    </row>
    <row r="844" spans="1:17" ht="13.2">
      <c r="A844" s="82"/>
      <c r="B844" s="50"/>
      <c r="D844" s="82"/>
      <c r="K844" s="214"/>
      <c r="M844" s="109"/>
      <c r="O844" s="109"/>
      <c r="Q844" s="109"/>
    </row>
    <row r="845" spans="1:17" ht="13.2">
      <c r="A845" s="82"/>
      <c r="B845" s="50"/>
      <c r="D845" s="82"/>
      <c r="K845" s="214"/>
      <c r="M845" s="109"/>
      <c r="O845" s="109"/>
      <c r="Q845" s="109"/>
    </row>
    <row r="846" spans="1:17" ht="13.2">
      <c r="A846" s="82"/>
      <c r="B846" s="50"/>
      <c r="D846" s="82"/>
      <c r="K846" s="214"/>
      <c r="M846" s="109"/>
      <c r="O846" s="109"/>
      <c r="Q846" s="109"/>
    </row>
    <row r="847" spans="1:17" ht="13.2">
      <c r="A847" s="82"/>
      <c r="B847" s="50"/>
      <c r="D847" s="82"/>
      <c r="K847" s="214"/>
      <c r="M847" s="109"/>
      <c r="O847" s="109"/>
      <c r="Q847" s="109"/>
    </row>
    <row r="848" spans="1:17" ht="13.2">
      <c r="A848" s="82"/>
      <c r="B848" s="50"/>
      <c r="D848" s="82"/>
      <c r="K848" s="214"/>
      <c r="M848" s="109"/>
      <c r="O848" s="109"/>
      <c r="Q848" s="109"/>
    </row>
    <row r="849" spans="1:17" ht="13.2">
      <c r="A849" s="82"/>
      <c r="B849" s="50"/>
      <c r="D849" s="82"/>
      <c r="K849" s="214"/>
      <c r="M849" s="109"/>
      <c r="O849" s="109"/>
      <c r="Q849" s="109"/>
    </row>
    <row r="850" spans="1:17" ht="13.2">
      <c r="A850" s="82"/>
      <c r="B850" s="50"/>
      <c r="D850" s="82"/>
      <c r="K850" s="214"/>
      <c r="M850" s="109"/>
      <c r="O850" s="109"/>
      <c r="Q850" s="109"/>
    </row>
    <row r="851" spans="1:17" ht="13.2">
      <c r="A851" s="82"/>
      <c r="B851" s="50"/>
      <c r="D851" s="82"/>
      <c r="K851" s="214"/>
      <c r="M851" s="109"/>
      <c r="O851" s="109"/>
      <c r="Q851" s="109"/>
    </row>
    <row r="852" spans="1:17" ht="13.2">
      <c r="A852" s="82"/>
      <c r="B852" s="50"/>
      <c r="D852" s="82"/>
      <c r="K852" s="214"/>
      <c r="M852" s="109"/>
      <c r="O852" s="109"/>
      <c r="Q852" s="109"/>
    </row>
    <row r="853" spans="1:17" ht="13.2">
      <c r="A853" s="82"/>
      <c r="B853" s="50"/>
      <c r="D853" s="82"/>
      <c r="K853" s="214"/>
      <c r="M853" s="109"/>
      <c r="O853" s="109"/>
      <c r="Q853" s="109"/>
    </row>
    <row r="854" spans="1:17" ht="13.2">
      <c r="A854" s="82"/>
      <c r="B854" s="50"/>
      <c r="D854" s="82"/>
      <c r="K854" s="214"/>
      <c r="M854" s="109"/>
      <c r="O854" s="109"/>
      <c r="Q854" s="109"/>
    </row>
    <row r="855" spans="1:17" ht="13.2">
      <c r="A855" s="82"/>
      <c r="B855" s="50"/>
      <c r="D855" s="82"/>
      <c r="K855" s="214"/>
      <c r="M855" s="109"/>
      <c r="O855" s="109"/>
      <c r="Q855" s="109"/>
    </row>
    <row r="856" spans="1:17" ht="13.2">
      <c r="A856" s="82"/>
      <c r="B856" s="50"/>
      <c r="D856" s="82"/>
      <c r="K856" s="214"/>
      <c r="M856" s="109"/>
      <c r="O856" s="109"/>
      <c r="Q856" s="109"/>
    </row>
    <row r="857" spans="1:17" ht="13.2">
      <c r="A857" s="82"/>
      <c r="B857" s="50"/>
      <c r="D857" s="82"/>
      <c r="K857" s="214"/>
      <c r="M857" s="109"/>
      <c r="O857" s="109"/>
      <c r="Q857" s="109"/>
    </row>
    <row r="858" spans="1:17" ht="13.2">
      <c r="A858" s="82"/>
      <c r="B858" s="50"/>
      <c r="D858" s="82"/>
      <c r="K858" s="214"/>
      <c r="M858" s="109"/>
      <c r="O858" s="109"/>
      <c r="Q858" s="109"/>
    </row>
    <row r="859" spans="1:17" ht="13.2">
      <c r="A859" s="82"/>
      <c r="B859" s="50"/>
      <c r="D859" s="82"/>
      <c r="K859" s="214"/>
      <c r="M859" s="109"/>
      <c r="O859" s="109"/>
      <c r="Q859" s="109"/>
    </row>
    <row r="860" spans="1:17" ht="13.2">
      <c r="A860" s="82"/>
      <c r="B860" s="50"/>
      <c r="D860" s="82"/>
      <c r="K860" s="214"/>
      <c r="M860" s="109"/>
      <c r="O860" s="109"/>
      <c r="Q860" s="109"/>
    </row>
    <row r="861" spans="1:17" ht="13.2">
      <c r="A861" s="82"/>
      <c r="B861" s="50"/>
      <c r="D861" s="82"/>
      <c r="K861" s="214"/>
      <c r="M861" s="109"/>
      <c r="O861" s="109"/>
      <c r="Q861" s="109"/>
    </row>
    <row r="862" spans="1:17" ht="13.2">
      <c r="A862" s="82"/>
      <c r="B862" s="50"/>
      <c r="D862" s="82"/>
      <c r="K862" s="214"/>
      <c r="M862" s="109"/>
      <c r="O862" s="109"/>
      <c r="Q862" s="109"/>
    </row>
    <row r="863" spans="1:17" ht="13.2">
      <c r="A863" s="82"/>
      <c r="B863" s="50"/>
      <c r="D863" s="82"/>
      <c r="K863" s="214"/>
      <c r="M863" s="109"/>
      <c r="O863" s="109"/>
      <c r="Q863" s="109"/>
    </row>
    <row r="864" spans="1:17" ht="13.2">
      <c r="A864" s="82"/>
      <c r="B864" s="50"/>
      <c r="D864" s="82"/>
      <c r="K864" s="214"/>
      <c r="M864" s="109"/>
      <c r="O864" s="109"/>
      <c r="Q864" s="109"/>
    </row>
    <row r="865" spans="1:17" ht="13.2">
      <c r="A865" s="82"/>
      <c r="B865" s="50"/>
      <c r="D865" s="82"/>
      <c r="K865" s="214"/>
      <c r="M865" s="109"/>
      <c r="O865" s="109"/>
      <c r="Q865" s="109"/>
    </row>
    <row r="866" spans="1:17" ht="13.2">
      <c r="A866" s="82"/>
      <c r="B866" s="50"/>
      <c r="D866" s="82"/>
      <c r="K866" s="214"/>
      <c r="M866" s="109"/>
      <c r="O866" s="109"/>
      <c r="Q866" s="109"/>
    </row>
    <row r="867" spans="1:17" ht="13.2">
      <c r="A867" s="82"/>
      <c r="B867" s="50"/>
      <c r="D867" s="82"/>
      <c r="K867" s="214"/>
      <c r="M867" s="109"/>
      <c r="O867" s="109"/>
      <c r="Q867" s="109"/>
    </row>
    <row r="868" spans="1:17" ht="13.2">
      <c r="A868" s="82"/>
      <c r="B868" s="50"/>
      <c r="D868" s="82"/>
      <c r="K868" s="214"/>
      <c r="M868" s="109"/>
      <c r="O868" s="109"/>
      <c r="Q868" s="109"/>
    </row>
    <row r="869" spans="1:17" ht="13.2">
      <c r="A869" s="82"/>
      <c r="B869" s="50"/>
      <c r="D869" s="82"/>
      <c r="K869" s="214"/>
      <c r="M869" s="109"/>
      <c r="O869" s="109"/>
      <c r="Q869" s="109"/>
    </row>
    <row r="870" spans="1:17" ht="13.2">
      <c r="A870" s="82"/>
      <c r="B870" s="50"/>
      <c r="D870" s="82"/>
      <c r="K870" s="214"/>
      <c r="M870" s="109"/>
      <c r="O870" s="109"/>
      <c r="Q870" s="109"/>
    </row>
    <row r="871" spans="1:17" ht="13.2">
      <c r="A871" s="82"/>
      <c r="B871" s="50"/>
      <c r="D871" s="82"/>
      <c r="K871" s="214"/>
      <c r="M871" s="109"/>
      <c r="O871" s="109"/>
      <c r="Q871" s="109"/>
    </row>
    <row r="872" spans="1:17" ht="13.2">
      <c r="A872" s="82"/>
      <c r="B872" s="50"/>
      <c r="D872" s="82"/>
      <c r="K872" s="214"/>
      <c r="M872" s="109"/>
      <c r="O872" s="109"/>
      <c r="Q872" s="109"/>
    </row>
    <row r="873" spans="1:17" ht="13.2">
      <c r="A873" s="82"/>
      <c r="B873" s="50"/>
      <c r="D873" s="82"/>
      <c r="K873" s="214"/>
      <c r="M873" s="109"/>
      <c r="O873" s="109"/>
      <c r="Q873" s="109"/>
    </row>
    <row r="874" spans="1:17" ht="13.2">
      <c r="A874" s="82"/>
      <c r="B874" s="50"/>
      <c r="D874" s="82"/>
      <c r="K874" s="214"/>
      <c r="M874" s="109"/>
      <c r="O874" s="109"/>
      <c r="Q874" s="109"/>
    </row>
    <row r="875" spans="1:17" ht="13.2">
      <c r="A875" s="82"/>
      <c r="B875" s="50"/>
      <c r="D875" s="82"/>
      <c r="K875" s="214"/>
      <c r="M875" s="109"/>
      <c r="O875" s="109"/>
      <c r="Q875" s="109"/>
    </row>
    <row r="876" spans="1:17" ht="13.2">
      <c r="A876" s="82"/>
      <c r="B876" s="50"/>
      <c r="D876" s="82"/>
      <c r="K876" s="214"/>
      <c r="M876" s="109"/>
      <c r="O876" s="109"/>
      <c r="Q876" s="109"/>
    </row>
    <row r="877" spans="1:17" ht="13.2">
      <c r="A877" s="82"/>
      <c r="B877" s="50"/>
      <c r="D877" s="82"/>
      <c r="K877" s="214"/>
      <c r="M877" s="109"/>
      <c r="O877" s="109"/>
      <c r="Q877" s="109"/>
    </row>
    <row r="878" spans="1:17" ht="13.2">
      <c r="A878" s="82"/>
      <c r="B878" s="50"/>
      <c r="D878" s="82"/>
      <c r="K878" s="214"/>
      <c r="M878" s="109"/>
      <c r="O878" s="109"/>
      <c r="Q878" s="109"/>
    </row>
    <row r="879" spans="1:17" ht="13.2">
      <c r="A879" s="82"/>
      <c r="B879" s="50"/>
      <c r="D879" s="82"/>
      <c r="K879" s="214"/>
      <c r="M879" s="109"/>
      <c r="O879" s="109"/>
      <c r="Q879" s="109"/>
    </row>
    <row r="880" spans="1:17" ht="13.2">
      <c r="A880" s="82"/>
      <c r="B880" s="50"/>
      <c r="D880" s="82"/>
      <c r="K880" s="214"/>
      <c r="M880" s="109"/>
      <c r="O880" s="109"/>
      <c r="Q880" s="109"/>
    </row>
    <row r="881" spans="1:17" ht="13.2">
      <c r="A881" s="82"/>
      <c r="B881" s="50"/>
      <c r="D881" s="82"/>
      <c r="K881" s="214"/>
      <c r="M881" s="109"/>
      <c r="O881" s="109"/>
      <c r="Q881" s="109"/>
    </row>
    <row r="882" spans="1:17" ht="13.2">
      <c r="A882" s="82"/>
      <c r="B882" s="50"/>
      <c r="D882" s="82"/>
      <c r="K882" s="214"/>
      <c r="M882" s="109"/>
      <c r="O882" s="109"/>
      <c r="Q882" s="109"/>
    </row>
    <row r="883" spans="1:17" ht="13.2">
      <c r="A883" s="82"/>
      <c r="B883" s="50"/>
      <c r="D883" s="82"/>
      <c r="K883" s="214"/>
      <c r="M883" s="109"/>
      <c r="O883" s="109"/>
      <c r="Q883" s="109"/>
    </row>
    <row r="884" spans="1:17" ht="13.2">
      <c r="A884" s="82"/>
      <c r="B884" s="50"/>
      <c r="D884" s="82"/>
      <c r="K884" s="214"/>
      <c r="M884" s="109"/>
      <c r="O884" s="109"/>
      <c r="Q884" s="109"/>
    </row>
    <row r="885" spans="1:17" ht="13.2">
      <c r="A885" s="82"/>
      <c r="B885" s="50"/>
      <c r="D885" s="82"/>
      <c r="K885" s="214"/>
      <c r="M885" s="109"/>
      <c r="O885" s="109"/>
      <c r="Q885" s="109"/>
    </row>
    <row r="886" spans="1:17" ht="13.2">
      <c r="A886" s="82"/>
      <c r="B886" s="50"/>
      <c r="D886" s="82"/>
      <c r="K886" s="214"/>
      <c r="M886" s="109"/>
      <c r="O886" s="109"/>
      <c r="Q886" s="109"/>
    </row>
    <row r="887" spans="1:17" ht="13.2">
      <c r="A887" s="82"/>
      <c r="B887" s="50"/>
      <c r="D887" s="82"/>
      <c r="K887" s="214"/>
      <c r="M887" s="109"/>
      <c r="O887" s="109"/>
      <c r="Q887" s="109"/>
    </row>
    <row r="888" spans="1:17" ht="13.2">
      <c r="A888" s="82"/>
      <c r="B888" s="50"/>
      <c r="D888" s="82"/>
      <c r="K888" s="214"/>
      <c r="M888" s="109"/>
      <c r="O888" s="109"/>
      <c r="Q888" s="109"/>
    </row>
    <row r="889" spans="1:17" ht="13.2">
      <c r="A889" s="82"/>
      <c r="B889" s="50"/>
      <c r="D889" s="82"/>
      <c r="K889" s="214"/>
      <c r="M889" s="109"/>
      <c r="O889" s="109"/>
      <c r="Q889" s="109"/>
    </row>
    <row r="890" spans="1:17" ht="13.2">
      <c r="A890" s="82"/>
      <c r="B890" s="50"/>
      <c r="D890" s="82"/>
      <c r="K890" s="214"/>
      <c r="M890" s="109"/>
      <c r="O890" s="109"/>
      <c r="Q890" s="109"/>
    </row>
    <row r="891" spans="1:17" ht="13.2">
      <c r="A891" s="82"/>
      <c r="B891" s="50"/>
      <c r="D891" s="82"/>
      <c r="K891" s="214"/>
      <c r="M891" s="109"/>
      <c r="O891" s="109"/>
      <c r="Q891" s="109"/>
    </row>
    <row r="892" spans="1:17" ht="13.2">
      <c r="A892" s="82"/>
      <c r="B892" s="50"/>
      <c r="D892" s="82"/>
      <c r="K892" s="214"/>
      <c r="M892" s="109"/>
      <c r="O892" s="109"/>
      <c r="Q892" s="109"/>
    </row>
    <row r="893" spans="1:17" ht="13.2">
      <c r="A893" s="82"/>
      <c r="B893" s="50"/>
      <c r="D893" s="82"/>
      <c r="K893" s="214"/>
      <c r="M893" s="109"/>
      <c r="O893" s="109"/>
      <c r="Q893" s="109"/>
    </row>
    <row r="894" spans="1:17" ht="13.2">
      <c r="A894" s="82"/>
      <c r="B894" s="50"/>
      <c r="D894" s="82"/>
      <c r="K894" s="214"/>
      <c r="M894" s="109"/>
      <c r="O894" s="109"/>
      <c r="Q894" s="109"/>
    </row>
    <row r="895" spans="1:17" ht="13.2">
      <c r="A895" s="82"/>
      <c r="B895" s="50"/>
      <c r="D895" s="82"/>
      <c r="K895" s="214"/>
      <c r="M895" s="109"/>
      <c r="O895" s="109"/>
      <c r="Q895" s="109"/>
    </row>
    <row r="896" spans="1:17" ht="13.2">
      <c r="A896" s="82"/>
      <c r="B896" s="50"/>
      <c r="D896" s="82"/>
      <c r="K896" s="214"/>
      <c r="M896" s="109"/>
      <c r="O896" s="109"/>
      <c r="Q896" s="109"/>
    </row>
    <row r="897" spans="1:17" ht="13.2">
      <c r="A897" s="82"/>
      <c r="B897" s="50"/>
      <c r="D897" s="82"/>
      <c r="K897" s="214"/>
      <c r="M897" s="109"/>
      <c r="O897" s="109"/>
      <c r="Q897" s="109"/>
    </row>
    <row r="898" spans="1:17" ht="13.2">
      <c r="A898" s="82"/>
      <c r="B898" s="50"/>
      <c r="D898" s="82"/>
      <c r="K898" s="214"/>
      <c r="M898" s="109"/>
      <c r="O898" s="109"/>
      <c r="Q898" s="109"/>
    </row>
    <row r="899" spans="1:17" ht="13.2">
      <c r="A899" s="82"/>
      <c r="B899" s="50"/>
      <c r="D899" s="82"/>
      <c r="K899" s="214"/>
      <c r="M899" s="109"/>
      <c r="O899" s="109"/>
      <c r="Q899" s="109"/>
    </row>
    <row r="900" spans="1:17" ht="13.2">
      <c r="A900" s="82"/>
      <c r="B900" s="50"/>
      <c r="D900" s="82"/>
      <c r="K900" s="214"/>
      <c r="M900" s="109"/>
      <c r="O900" s="109"/>
      <c r="Q900" s="109"/>
    </row>
    <row r="901" spans="1:17" ht="13.2">
      <c r="A901" s="82"/>
      <c r="B901" s="50"/>
      <c r="D901" s="82"/>
      <c r="K901" s="214"/>
      <c r="M901" s="109"/>
      <c r="O901" s="109"/>
      <c r="Q901" s="109"/>
    </row>
    <row r="902" spans="1:17" ht="13.2">
      <c r="A902" s="82"/>
      <c r="B902" s="50"/>
      <c r="D902" s="82"/>
      <c r="K902" s="214"/>
      <c r="M902" s="109"/>
      <c r="O902" s="109"/>
      <c r="Q902" s="109"/>
    </row>
    <row r="903" spans="1:17" ht="13.2">
      <c r="A903" s="82"/>
      <c r="B903" s="50"/>
      <c r="D903" s="82"/>
      <c r="K903" s="214"/>
      <c r="M903" s="109"/>
      <c r="O903" s="109"/>
      <c r="Q903" s="109"/>
    </row>
    <row r="904" spans="1:17" ht="13.2">
      <c r="A904" s="82"/>
      <c r="B904" s="50"/>
      <c r="D904" s="82"/>
      <c r="K904" s="214"/>
      <c r="M904" s="109"/>
      <c r="O904" s="109"/>
      <c r="Q904" s="109"/>
    </row>
    <row r="905" spans="1:17" ht="13.2">
      <c r="A905" s="82"/>
      <c r="B905" s="50"/>
      <c r="D905" s="82"/>
      <c r="K905" s="214"/>
      <c r="M905" s="109"/>
      <c r="O905" s="109"/>
      <c r="Q905" s="109"/>
    </row>
    <row r="906" spans="1:17" ht="13.2">
      <c r="A906" s="82"/>
      <c r="B906" s="50"/>
      <c r="D906" s="82"/>
      <c r="K906" s="214"/>
      <c r="M906" s="109"/>
      <c r="O906" s="109"/>
      <c r="Q906" s="109"/>
    </row>
    <row r="907" spans="1:17" ht="13.2">
      <c r="A907" s="82"/>
      <c r="B907" s="50"/>
      <c r="D907" s="82"/>
      <c r="K907" s="214"/>
      <c r="M907" s="109"/>
      <c r="O907" s="109"/>
      <c r="Q907" s="109"/>
    </row>
    <row r="908" spans="1:17" ht="13.2">
      <c r="A908" s="82"/>
      <c r="B908" s="50"/>
      <c r="D908" s="82"/>
      <c r="K908" s="214"/>
      <c r="M908" s="109"/>
      <c r="O908" s="109"/>
      <c r="Q908" s="109"/>
    </row>
    <row r="909" spans="1:17" ht="13.2">
      <c r="A909" s="82"/>
      <c r="B909" s="50"/>
      <c r="D909" s="82"/>
      <c r="K909" s="214"/>
      <c r="M909" s="109"/>
      <c r="O909" s="109"/>
      <c r="Q909" s="109"/>
    </row>
    <row r="910" spans="1:17" ht="13.2">
      <c r="A910" s="82"/>
      <c r="B910" s="50"/>
      <c r="D910" s="82"/>
      <c r="K910" s="214"/>
      <c r="M910" s="109"/>
      <c r="O910" s="109"/>
      <c r="Q910" s="109"/>
    </row>
    <row r="911" spans="1:17" ht="13.2">
      <c r="A911" s="82"/>
      <c r="B911" s="50"/>
      <c r="D911" s="82"/>
      <c r="K911" s="214"/>
      <c r="M911" s="109"/>
      <c r="O911" s="109"/>
      <c r="Q911" s="109"/>
    </row>
    <row r="912" spans="1:17" ht="13.2">
      <c r="A912" s="82"/>
      <c r="B912" s="50"/>
      <c r="D912" s="82"/>
      <c r="K912" s="214"/>
      <c r="M912" s="109"/>
      <c r="O912" s="109"/>
      <c r="Q912" s="109"/>
    </row>
    <row r="913" spans="1:17" ht="13.2">
      <c r="A913" s="82"/>
      <c r="B913" s="50"/>
      <c r="D913" s="82"/>
      <c r="K913" s="214"/>
      <c r="M913" s="109"/>
      <c r="O913" s="109"/>
      <c r="Q913" s="109"/>
    </row>
    <row r="914" spans="1:17" ht="13.2">
      <c r="A914" s="82"/>
      <c r="B914" s="50"/>
      <c r="D914" s="82"/>
      <c r="K914" s="214"/>
      <c r="M914" s="109"/>
      <c r="O914" s="109"/>
      <c r="Q914" s="109"/>
    </row>
    <row r="915" spans="1:17" ht="13.2">
      <c r="A915" s="82"/>
      <c r="B915" s="50"/>
      <c r="D915" s="82"/>
      <c r="K915" s="214"/>
      <c r="M915" s="109"/>
      <c r="O915" s="109"/>
      <c r="Q915" s="109"/>
    </row>
    <row r="916" spans="1:17" ht="13.2">
      <c r="A916" s="82"/>
      <c r="B916" s="50"/>
      <c r="D916" s="82"/>
      <c r="K916" s="214"/>
      <c r="M916" s="109"/>
      <c r="O916" s="109"/>
      <c r="Q916" s="109"/>
    </row>
    <row r="917" spans="1:17" ht="13.2">
      <c r="A917" s="82"/>
      <c r="B917" s="50"/>
      <c r="D917" s="82"/>
      <c r="K917" s="214"/>
      <c r="M917" s="109"/>
      <c r="O917" s="109"/>
      <c r="Q917" s="109"/>
    </row>
    <row r="918" spans="1:17" ht="13.2">
      <c r="A918" s="82"/>
      <c r="B918" s="50"/>
      <c r="D918" s="82"/>
      <c r="K918" s="214"/>
      <c r="M918" s="109"/>
      <c r="O918" s="109"/>
      <c r="Q918" s="109"/>
    </row>
    <row r="919" spans="1:17" ht="13.2">
      <c r="A919" s="82"/>
      <c r="B919" s="50"/>
      <c r="D919" s="82"/>
      <c r="K919" s="214"/>
      <c r="M919" s="109"/>
      <c r="O919" s="109"/>
      <c r="Q919" s="109"/>
    </row>
    <row r="920" spans="1:17" ht="13.2">
      <c r="A920" s="82"/>
      <c r="B920" s="50"/>
      <c r="D920" s="82"/>
      <c r="K920" s="214"/>
      <c r="M920" s="109"/>
      <c r="O920" s="109"/>
      <c r="Q920" s="109"/>
    </row>
    <row r="921" spans="1:17" ht="13.2">
      <c r="A921" s="82"/>
      <c r="B921" s="50"/>
      <c r="D921" s="82"/>
      <c r="K921" s="214"/>
      <c r="M921" s="109"/>
      <c r="O921" s="109"/>
      <c r="Q921" s="109"/>
    </row>
    <row r="922" spans="1:17" ht="13.2">
      <c r="A922" s="82"/>
      <c r="B922" s="50"/>
      <c r="D922" s="82"/>
      <c r="K922" s="214"/>
      <c r="M922" s="109"/>
      <c r="O922" s="109"/>
      <c r="Q922" s="109"/>
    </row>
    <row r="923" spans="1:17" ht="13.2">
      <c r="A923" s="82"/>
      <c r="B923" s="50"/>
      <c r="D923" s="82"/>
      <c r="K923" s="214"/>
      <c r="M923" s="109"/>
      <c r="O923" s="109"/>
      <c r="Q923" s="109"/>
    </row>
    <row r="924" spans="1:17" ht="13.2">
      <c r="A924" s="82"/>
      <c r="B924" s="50"/>
      <c r="D924" s="82"/>
      <c r="K924" s="214"/>
      <c r="M924" s="109"/>
      <c r="O924" s="109"/>
      <c r="Q924" s="109"/>
    </row>
    <row r="925" spans="1:17" ht="13.2">
      <c r="A925" s="82"/>
      <c r="B925" s="50"/>
      <c r="D925" s="82"/>
      <c r="K925" s="214"/>
      <c r="M925" s="109"/>
      <c r="O925" s="109"/>
      <c r="Q925" s="109"/>
    </row>
    <row r="926" spans="1:17" ht="13.2">
      <c r="A926" s="82"/>
      <c r="B926" s="50"/>
      <c r="D926" s="82"/>
      <c r="K926" s="214"/>
      <c r="M926" s="109"/>
      <c r="O926" s="109"/>
      <c r="Q926" s="109"/>
    </row>
    <row r="927" spans="1:17" ht="13.2">
      <c r="A927" s="82"/>
      <c r="B927" s="50"/>
      <c r="D927" s="82"/>
      <c r="K927" s="214"/>
      <c r="M927" s="109"/>
      <c r="O927" s="109"/>
      <c r="Q927" s="109"/>
    </row>
    <row r="928" spans="1:17" ht="13.2">
      <c r="A928" s="82"/>
      <c r="B928" s="50"/>
      <c r="D928" s="82"/>
      <c r="K928" s="214"/>
      <c r="M928" s="109"/>
      <c r="O928" s="109"/>
      <c r="Q928" s="109"/>
    </row>
    <row r="929" spans="1:17" ht="13.2">
      <c r="A929" s="82"/>
      <c r="B929" s="50"/>
      <c r="D929" s="82"/>
      <c r="K929" s="214"/>
      <c r="M929" s="109"/>
      <c r="O929" s="109"/>
      <c r="Q929" s="109"/>
    </row>
    <row r="930" spans="1:17" ht="13.2">
      <c r="A930" s="82"/>
      <c r="B930" s="50"/>
      <c r="D930" s="82"/>
      <c r="K930" s="214"/>
      <c r="M930" s="109"/>
      <c r="O930" s="109"/>
      <c r="Q930" s="109"/>
    </row>
    <row r="931" spans="1:17" ht="13.2">
      <c r="A931" s="82"/>
      <c r="B931" s="50"/>
      <c r="D931" s="82"/>
      <c r="K931" s="214"/>
      <c r="M931" s="109"/>
      <c r="O931" s="109"/>
      <c r="Q931" s="109"/>
    </row>
    <row r="932" spans="1:17" ht="13.2">
      <c r="A932" s="82"/>
      <c r="B932" s="50"/>
      <c r="D932" s="82"/>
      <c r="K932" s="214"/>
      <c r="M932" s="109"/>
      <c r="O932" s="109"/>
      <c r="Q932" s="109"/>
    </row>
    <row r="933" spans="1:17" ht="13.2">
      <c r="A933" s="82"/>
      <c r="B933" s="50"/>
      <c r="D933" s="82"/>
      <c r="K933" s="214"/>
      <c r="M933" s="109"/>
      <c r="O933" s="109"/>
      <c r="Q933" s="109"/>
    </row>
    <row r="934" spans="1:17" ht="13.2">
      <c r="A934" s="82"/>
      <c r="B934" s="50"/>
      <c r="D934" s="82"/>
      <c r="K934" s="214"/>
      <c r="M934" s="109"/>
      <c r="O934" s="109"/>
      <c r="Q934" s="109"/>
    </row>
    <row r="935" spans="1:17" ht="13.2">
      <c r="A935" s="82"/>
      <c r="B935" s="50"/>
      <c r="D935" s="82"/>
      <c r="K935" s="214"/>
      <c r="M935" s="109"/>
      <c r="O935" s="109"/>
      <c r="Q935" s="109"/>
    </row>
    <row r="936" spans="1:17" ht="13.2">
      <c r="A936" s="82"/>
      <c r="B936" s="50"/>
      <c r="D936" s="82"/>
      <c r="K936" s="214"/>
      <c r="M936" s="109"/>
      <c r="O936" s="109"/>
      <c r="Q936" s="109"/>
    </row>
    <row r="937" spans="1:17" ht="13.2">
      <c r="A937" s="82"/>
      <c r="B937" s="50"/>
      <c r="D937" s="82"/>
      <c r="K937" s="214"/>
      <c r="M937" s="109"/>
      <c r="O937" s="109"/>
      <c r="Q937" s="109"/>
    </row>
    <row r="938" spans="1:17" ht="13.2">
      <c r="A938" s="82"/>
      <c r="B938" s="50"/>
      <c r="D938" s="82"/>
      <c r="K938" s="214"/>
      <c r="M938" s="109"/>
      <c r="O938" s="109"/>
      <c r="Q938" s="109"/>
    </row>
    <row r="939" spans="1:17" ht="13.2">
      <c r="A939" s="82"/>
      <c r="B939" s="50"/>
      <c r="D939" s="82"/>
      <c r="K939" s="214"/>
      <c r="M939" s="109"/>
      <c r="O939" s="109"/>
      <c r="Q939" s="109"/>
    </row>
    <row r="940" spans="1:17" ht="13.2">
      <c r="A940" s="82"/>
      <c r="B940" s="50"/>
      <c r="D940" s="82"/>
      <c r="K940" s="214"/>
      <c r="M940" s="109"/>
      <c r="O940" s="109"/>
      <c r="Q940" s="109"/>
    </row>
    <row r="941" spans="1:17" ht="13.2">
      <c r="A941" s="82"/>
      <c r="B941" s="50"/>
      <c r="D941" s="82"/>
      <c r="K941" s="214"/>
      <c r="M941" s="109"/>
      <c r="O941" s="109"/>
      <c r="Q941" s="109"/>
    </row>
    <row r="942" spans="1:17" ht="13.2">
      <c r="A942" s="82"/>
      <c r="B942" s="50"/>
      <c r="D942" s="82"/>
      <c r="K942" s="214"/>
      <c r="M942" s="109"/>
      <c r="O942" s="109"/>
      <c r="Q942" s="109"/>
    </row>
    <row r="943" spans="1:17" ht="13.2">
      <c r="A943" s="82"/>
      <c r="B943" s="50"/>
      <c r="D943" s="82"/>
      <c r="K943" s="214"/>
      <c r="M943" s="109"/>
      <c r="O943" s="109"/>
      <c r="Q943" s="109"/>
    </row>
    <row r="944" spans="1:17" ht="13.2">
      <c r="A944" s="82"/>
      <c r="B944" s="50"/>
      <c r="D944" s="82"/>
      <c r="K944" s="214"/>
      <c r="M944" s="109"/>
      <c r="O944" s="109"/>
      <c r="Q944" s="109"/>
    </row>
    <row r="945" spans="1:17" ht="13.2">
      <c r="A945" s="82"/>
      <c r="B945" s="50"/>
      <c r="D945" s="82"/>
      <c r="K945" s="214"/>
      <c r="M945" s="109"/>
      <c r="O945" s="109"/>
      <c r="Q945" s="109"/>
    </row>
    <row r="946" spans="1:17" ht="13.2">
      <c r="A946" s="82"/>
      <c r="B946" s="50"/>
      <c r="D946" s="82"/>
      <c r="K946" s="214"/>
      <c r="M946" s="109"/>
      <c r="O946" s="109"/>
      <c r="Q946" s="109"/>
    </row>
    <row r="947" spans="1:17" ht="13.2">
      <c r="A947" s="82"/>
      <c r="B947" s="50"/>
      <c r="D947" s="82"/>
      <c r="K947" s="214"/>
      <c r="M947" s="109"/>
      <c r="O947" s="109"/>
      <c r="Q947" s="109"/>
    </row>
    <row r="948" spans="1:17" ht="13.2">
      <c r="A948" s="82"/>
      <c r="B948" s="50"/>
      <c r="D948" s="82"/>
      <c r="K948" s="214"/>
      <c r="M948" s="109"/>
      <c r="O948" s="109"/>
      <c r="Q948" s="109"/>
    </row>
    <row r="949" spans="1:17" ht="13.2">
      <c r="A949" s="82"/>
      <c r="B949" s="50"/>
      <c r="D949" s="82"/>
      <c r="K949" s="214"/>
      <c r="M949" s="109"/>
      <c r="O949" s="109"/>
      <c r="Q949" s="109"/>
    </row>
    <row r="950" spans="1:17" ht="13.2">
      <c r="A950" s="82"/>
      <c r="B950" s="50"/>
      <c r="D950" s="82"/>
      <c r="K950" s="214"/>
      <c r="M950" s="109"/>
      <c r="O950" s="109"/>
      <c r="Q950" s="109"/>
    </row>
    <row r="951" spans="1:17" ht="13.2">
      <c r="A951" s="82"/>
      <c r="B951" s="50"/>
      <c r="D951" s="82"/>
      <c r="K951" s="214"/>
      <c r="M951" s="109"/>
      <c r="O951" s="109"/>
      <c r="Q951" s="109"/>
    </row>
    <row r="952" spans="1:17" ht="13.2">
      <c r="A952" s="82"/>
      <c r="B952" s="50"/>
      <c r="D952" s="82"/>
      <c r="K952" s="214"/>
      <c r="M952" s="109"/>
      <c r="O952" s="109"/>
      <c r="Q952" s="109"/>
    </row>
    <row r="953" spans="1:17" ht="13.2">
      <c r="A953" s="82"/>
      <c r="B953" s="50"/>
      <c r="D953" s="82"/>
      <c r="K953" s="214"/>
      <c r="M953" s="109"/>
      <c r="O953" s="109"/>
      <c r="Q953" s="109"/>
    </row>
    <row r="954" spans="1:17" ht="13.2">
      <c r="A954" s="82"/>
      <c r="B954" s="50"/>
      <c r="D954" s="82"/>
      <c r="K954" s="214"/>
      <c r="M954" s="109"/>
      <c r="O954" s="109"/>
      <c r="Q954" s="109"/>
    </row>
    <row r="955" spans="1:17" ht="13.2">
      <c r="A955" s="82"/>
      <c r="B955" s="50"/>
      <c r="D955" s="82"/>
      <c r="K955" s="214"/>
      <c r="M955" s="109"/>
      <c r="O955" s="109"/>
      <c r="Q955" s="109"/>
    </row>
    <row r="956" spans="1:17" ht="13.2">
      <c r="A956" s="82"/>
      <c r="B956" s="50"/>
      <c r="D956" s="82"/>
      <c r="K956" s="214"/>
      <c r="M956" s="109"/>
      <c r="O956" s="109"/>
      <c r="Q956" s="109"/>
    </row>
    <row r="957" spans="1:17" ht="13.2">
      <c r="A957" s="82"/>
      <c r="B957" s="50"/>
      <c r="D957" s="82"/>
      <c r="K957" s="214"/>
      <c r="M957" s="109"/>
      <c r="O957" s="109"/>
      <c r="Q957" s="109"/>
    </row>
    <row r="958" spans="1:17" ht="13.2">
      <c r="A958" s="82"/>
      <c r="B958" s="50"/>
      <c r="D958" s="82"/>
      <c r="K958" s="214"/>
      <c r="M958" s="109"/>
      <c r="O958" s="109"/>
      <c r="Q958" s="109"/>
    </row>
    <row r="959" spans="1:17" ht="13.2">
      <c r="A959" s="82"/>
      <c r="B959" s="50"/>
      <c r="D959" s="82"/>
      <c r="K959" s="214"/>
      <c r="M959" s="109"/>
      <c r="O959" s="109"/>
      <c r="Q959" s="109"/>
    </row>
    <row r="960" spans="1:17" ht="13.2">
      <c r="A960" s="82"/>
      <c r="B960" s="50"/>
      <c r="D960" s="82"/>
      <c r="K960" s="214"/>
      <c r="M960" s="109"/>
      <c r="O960" s="109"/>
      <c r="Q960" s="109"/>
    </row>
    <row r="961" spans="1:17" ht="13.2">
      <c r="A961" s="82"/>
      <c r="B961" s="50"/>
      <c r="D961" s="82"/>
      <c r="K961" s="214"/>
      <c r="M961" s="109"/>
      <c r="O961" s="109"/>
      <c r="Q961" s="109"/>
    </row>
    <row r="962" spans="1:17" ht="13.2">
      <c r="A962" s="82"/>
      <c r="B962" s="50"/>
      <c r="D962" s="82"/>
      <c r="K962" s="214"/>
      <c r="M962" s="109"/>
      <c r="O962" s="109"/>
      <c r="Q962" s="109"/>
    </row>
    <row r="963" spans="1:17" ht="13.2">
      <c r="A963" s="82"/>
      <c r="B963" s="50"/>
      <c r="D963" s="82"/>
      <c r="K963" s="214"/>
      <c r="M963" s="109"/>
      <c r="O963" s="109"/>
      <c r="Q963" s="109"/>
    </row>
    <row r="964" spans="1:17" ht="13.2">
      <c r="A964" s="82"/>
      <c r="B964" s="50"/>
      <c r="D964" s="82"/>
      <c r="K964" s="214"/>
      <c r="M964" s="109"/>
      <c r="O964" s="109"/>
      <c r="Q964" s="109"/>
    </row>
    <row r="965" spans="1:17" ht="13.2">
      <c r="A965" s="82"/>
      <c r="B965" s="50"/>
      <c r="D965" s="82"/>
      <c r="K965" s="214"/>
      <c r="M965" s="109"/>
      <c r="O965" s="109"/>
      <c r="Q965" s="109"/>
    </row>
    <row r="966" spans="1:17" ht="13.2">
      <c r="A966" s="82"/>
      <c r="B966" s="50"/>
      <c r="D966" s="82"/>
      <c r="K966" s="214"/>
      <c r="M966" s="109"/>
      <c r="O966" s="109"/>
      <c r="Q966" s="109"/>
    </row>
    <row r="967" spans="1:17" ht="13.2">
      <c r="A967" s="82"/>
      <c r="B967" s="50"/>
      <c r="D967" s="82"/>
      <c r="K967" s="214"/>
      <c r="M967" s="109"/>
      <c r="O967" s="109"/>
      <c r="Q967" s="109"/>
    </row>
    <row r="968" spans="1:17" ht="13.2">
      <c r="A968" s="82"/>
      <c r="B968" s="50"/>
      <c r="D968" s="82"/>
      <c r="K968" s="214"/>
      <c r="M968" s="109"/>
      <c r="O968" s="109"/>
      <c r="Q968" s="109"/>
    </row>
    <row r="969" spans="1:17" ht="13.2">
      <c r="A969" s="82"/>
      <c r="B969" s="50"/>
      <c r="D969" s="82"/>
      <c r="K969" s="214"/>
      <c r="M969" s="109"/>
      <c r="O969" s="109"/>
      <c r="Q969" s="109"/>
    </row>
    <row r="970" spans="1:17" ht="13.2">
      <c r="A970" s="82"/>
      <c r="B970" s="50"/>
      <c r="D970" s="82"/>
      <c r="K970" s="214"/>
      <c r="M970" s="109"/>
      <c r="O970" s="109"/>
      <c r="Q970" s="109"/>
    </row>
    <row r="971" spans="1:17" ht="13.2">
      <c r="A971" s="82"/>
      <c r="B971" s="50"/>
      <c r="D971" s="82"/>
      <c r="K971" s="214"/>
      <c r="M971" s="109"/>
      <c r="O971" s="109"/>
      <c r="Q971" s="109"/>
    </row>
    <row r="972" spans="1:17" ht="13.2">
      <c r="A972" s="82"/>
      <c r="B972" s="50"/>
      <c r="D972" s="82"/>
      <c r="K972" s="214"/>
      <c r="M972" s="109"/>
      <c r="O972" s="109"/>
      <c r="Q972" s="109"/>
    </row>
    <row r="973" spans="1:17" ht="13.2">
      <c r="A973" s="82"/>
      <c r="B973" s="50"/>
      <c r="D973" s="82"/>
      <c r="K973" s="214"/>
      <c r="M973" s="109"/>
      <c r="O973" s="109"/>
      <c r="Q973" s="109"/>
    </row>
    <row r="974" spans="1:17" ht="13.2">
      <c r="A974" s="82"/>
      <c r="B974" s="50"/>
      <c r="D974" s="82"/>
      <c r="K974" s="214"/>
      <c r="M974" s="109"/>
      <c r="O974" s="109"/>
      <c r="Q974" s="109"/>
    </row>
    <row r="975" spans="1:17" ht="13.2">
      <c r="A975" s="82"/>
      <c r="B975" s="50"/>
      <c r="D975" s="82"/>
      <c r="K975" s="214"/>
      <c r="M975" s="109"/>
      <c r="O975" s="109"/>
      <c r="Q975" s="109"/>
    </row>
    <row r="976" spans="1:17" ht="13.2">
      <c r="A976" s="82"/>
      <c r="B976" s="50"/>
      <c r="D976" s="82"/>
      <c r="K976" s="214"/>
      <c r="M976" s="109"/>
      <c r="O976" s="109"/>
      <c r="Q976" s="109"/>
    </row>
    <row r="977" spans="1:17" ht="13.2">
      <c r="A977" s="82"/>
      <c r="B977" s="50"/>
      <c r="D977" s="82"/>
      <c r="K977" s="214"/>
      <c r="M977" s="109"/>
      <c r="O977" s="109"/>
      <c r="Q977" s="109"/>
    </row>
    <row r="978" spans="1:17" ht="13.2">
      <c r="A978" s="82"/>
      <c r="B978" s="50"/>
      <c r="D978" s="82"/>
      <c r="K978" s="214"/>
      <c r="M978" s="109"/>
      <c r="O978" s="109"/>
      <c r="Q978" s="109"/>
    </row>
    <row r="979" spans="1:17" ht="13.2">
      <c r="A979" s="82"/>
      <c r="B979" s="50"/>
      <c r="D979" s="82"/>
      <c r="K979" s="214"/>
      <c r="M979" s="109"/>
      <c r="O979" s="109"/>
      <c r="Q979" s="109"/>
    </row>
    <row r="980" spans="1:17" ht="13.2">
      <c r="A980" s="82"/>
      <c r="B980" s="50"/>
      <c r="D980" s="82"/>
      <c r="K980" s="214"/>
      <c r="M980" s="109"/>
      <c r="O980" s="109"/>
      <c r="Q980" s="109"/>
    </row>
    <row r="981" spans="1:17" ht="13.2">
      <c r="A981" s="82"/>
      <c r="B981" s="50"/>
      <c r="D981" s="82"/>
      <c r="K981" s="214"/>
      <c r="M981" s="109"/>
      <c r="O981" s="109"/>
      <c r="Q981" s="109"/>
    </row>
    <row r="982" spans="1:17" ht="13.2">
      <c r="A982" s="82"/>
      <c r="B982" s="50"/>
      <c r="D982" s="82"/>
      <c r="K982" s="214"/>
      <c r="M982" s="109"/>
      <c r="O982" s="109"/>
      <c r="Q982" s="109"/>
    </row>
    <row r="983" spans="1:17" ht="13.2">
      <c r="A983" s="82"/>
      <c r="B983" s="50"/>
      <c r="D983" s="82"/>
      <c r="K983" s="214"/>
      <c r="M983" s="109"/>
      <c r="O983" s="109"/>
      <c r="Q983" s="109"/>
    </row>
    <row r="984" spans="1:17" ht="13.2">
      <c r="A984" s="82"/>
      <c r="B984" s="50"/>
      <c r="D984" s="82"/>
      <c r="K984" s="214"/>
      <c r="M984" s="109"/>
      <c r="O984" s="109"/>
      <c r="Q984" s="109"/>
    </row>
    <row r="985" spans="1:17" ht="13.2">
      <c r="A985" s="82"/>
      <c r="B985" s="50"/>
      <c r="D985" s="82"/>
      <c r="K985" s="214"/>
      <c r="M985" s="109"/>
      <c r="O985" s="109"/>
      <c r="Q985" s="109"/>
    </row>
    <row r="986" spans="1:17" ht="13.2">
      <c r="A986" s="82"/>
      <c r="B986" s="50"/>
      <c r="D986" s="82"/>
      <c r="K986" s="214"/>
      <c r="M986" s="109"/>
      <c r="O986" s="109"/>
      <c r="Q986" s="109"/>
    </row>
    <row r="987" spans="1:17" ht="13.2">
      <c r="A987" s="82"/>
      <c r="B987" s="50"/>
      <c r="D987" s="82"/>
      <c r="K987" s="214"/>
      <c r="M987" s="109"/>
      <c r="O987" s="109"/>
      <c r="Q987" s="109"/>
    </row>
    <row r="988" spans="1:17" ht="13.2">
      <c r="A988" s="82"/>
      <c r="B988" s="50"/>
      <c r="D988" s="82"/>
      <c r="K988" s="214"/>
      <c r="M988" s="109"/>
      <c r="O988" s="109"/>
      <c r="Q988" s="109"/>
    </row>
    <row r="989" spans="1:17" ht="13.2">
      <c r="A989" s="82"/>
      <c r="B989" s="50"/>
      <c r="D989" s="82"/>
      <c r="K989" s="214"/>
      <c r="M989" s="109"/>
      <c r="O989" s="109"/>
      <c r="Q989" s="109"/>
    </row>
    <row r="990" spans="1:17" ht="13.2">
      <c r="A990" s="82"/>
      <c r="B990" s="50"/>
      <c r="D990" s="82"/>
      <c r="K990" s="214"/>
      <c r="M990" s="109"/>
      <c r="O990" s="109"/>
      <c r="Q990" s="109"/>
    </row>
    <row r="991" spans="1:17" ht="13.2">
      <c r="A991" s="82"/>
      <c r="B991" s="50"/>
      <c r="D991" s="82"/>
      <c r="K991" s="214"/>
      <c r="M991" s="109"/>
      <c r="O991" s="109"/>
      <c r="Q991" s="109"/>
    </row>
    <row r="992" spans="1:17" ht="13.2">
      <c r="A992" s="82"/>
      <c r="B992" s="50"/>
      <c r="D992" s="82"/>
      <c r="K992" s="214"/>
      <c r="M992" s="109"/>
      <c r="O992" s="109"/>
      <c r="Q992" s="109"/>
    </row>
    <row r="993" spans="1:17" ht="13.2">
      <c r="A993" s="82"/>
      <c r="B993" s="50"/>
      <c r="D993" s="82"/>
      <c r="K993" s="214"/>
      <c r="M993" s="109"/>
      <c r="O993" s="109"/>
      <c r="Q993" s="109"/>
    </row>
    <row r="994" spans="1:17" ht="13.2">
      <c r="A994" s="82"/>
      <c r="B994" s="50"/>
      <c r="D994" s="82"/>
      <c r="K994" s="214"/>
      <c r="M994" s="109"/>
      <c r="O994" s="109"/>
      <c r="Q994" s="109"/>
    </row>
    <row r="995" spans="1:17" ht="13.2">
      <c r="A995" s="82"/>
      <c r="B995" s="50"/>
      <c r="D995" s="82"/>
      <c r="K995" s="214"/>
      <c r="M995" s="109"/>
      <c r="O995" s="109"/>
      <c r="Q995" s="109"/>
    </row>
    <row r="996" spans="1:17" ht="13.2">
      <c r="A996" s="82"/>
      <c r="B996" s="50"/>
      <c r="D996" s="82"/>
      <c r="K996" s="214"/>
      <c r="M996" s="109"/>
      <c r="O996" s="109"/>
      <c r="Q996" s="109"/>
    </row>
    <row r="997" spans="1:17" ht="13.2">
      <c r="A997" s="82"/>
      <c r="B997" s="50"/>
      <c r="D997" s="82"/>
      <c r="K997" s="214"/>
      <c r="M997" s="109"/>
      <c r="O997" s="109"/>
      <c r="Q997" s="109"/>
    </row>
    <row r="998" spans="1:17" ht="13.2">
      <c r="A998" s="82"/>
      <c r="B998" s="50"/>
      <c r="D998" s="82"/>
      <c r="K998" s="214"/>
      <c r="M998" s="109"/>
      <c r="O998" s="109"/>
      <c r="Q998" s="109"/>
    </row>
    <row r="999" spans="1:17" ht="13.2">
      <c r="A999" s="82"/>
      <c r="B999" s="50"/>
      <c r="D999" s="82"/>
      <c r="K999" s="214"/>
      <c r="M999" s="109"/>
      <c r="O999" s="109"/>
      <c r="Q999" s="109"/>
    </row>
    <row r="1000" spans="1:17" ht="13.2">
      <c r="A1000" s="82"/>
      <c r="B1000" s="50"/>
      <c r="D1000" s="82"/>
      <c r="K1000" s="214"/>
      <c r="M1000" s="109"/>
      <c r="O1000" s="109"/>
      <c r="Q1000" s="109"/>
    </row>
    <row r="1001" spans="1:17" ht="13.2">
      <c r="A1001" s="82"/>
      <c r="B1001" s="50"/>
      <c r="D1001" s="82"/>
      <c r="K1001" s="214"/>
      <c r="M1001" s="109"/>
      <c r="O1001" s="109"/>
      <c r="Q1001" s="109"/>
    </row>
  </sheetData>
  <sortState ref="A3:T82">
    <sortCondition ref="E3:E82"/>
  </sortState>
  <customSheetViews>
    <customSheetView guid="{C98B61DE-1488-42D3-A131-052C1E54C125}" filter="1" showAutoFilter="1">
      <pageMargins left="0.7" right="0.7" top="0.75" bottom="0.75" header="0.3" footer="0.3"/>
      <autoFilter ref="A2:R102">
        <sortState ref="A2:R102">
          <sortCondition ref="E2:E102"/>
        </sortState>
      </autoFilter>
    </customSheetView>
  </customSheetViews>
  <mergeCells count="6">
    <mergeCell ref="A1:E1"/>
    <mergeCell ref="K2:L2"/>
    <mergeCell ref="M2:N2"/>
    <mergeCell ref="O2:P2"/>
    <mergeCell ref="Q2:R2"/>
    <mergeCell ref="F1:J1"/>
  </mergeCells>
  <dataValidations count="1">
    <dataValidation type="list" allowBlank="1" showInputMessage="1" prompt="Bez penalizace, 1 penalizace, 2 penalizace" sqref="L3:L102 N3:N102 P3:P102 R3:R102">
      <formula1>"-,1,2"</formula1>
    </dataValidation>
  </dataValidations>
  <hyperlinks>
    <hyperlink ref="B5" r:id="rId1" display="http://robomaker.com.ua/"/>
  </hyperlink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outlinePr summaryBelow="0" summaryRight="0"/>
    <pageSetUpPr fitToPage="1"/>
  </sheetPr>
  <dimension ref="A1:T1001"/>
  <sheetViews>
    <sheetView workbookViewId="0">
      <pane ySplit="2" topLeftCell="A3" activePane="bottomLeft" state="frozen"/>
      <selection pane="bottomLeft" activeCell="B4" sqref="B4"/>
    </sheetView>
  </sheetViews>
  <sheetFormatPr defaultColWidth="14.44140625" defaultRowHeight="15.75" customHeight="1"/>
  <cols>
    <col min="1" max="1" width="11.88671875" customWidth="1"/>
    <col min="2" max="2" width="19.6640625" customWidth="1"/>
    <col min="3" max="3" width="31.109375" customWidth="1"/>
    <col min="4" max="4" width="11.109375" customWidth="1"/>
    <col min="6" max="10" width="8.33203125" customWidth="1"/>
    <col min="11" max="11" width="7.109375" customWidth="1"/>
    <col min="12" max="12" width="5" customWidth="1"/>
    <col min="13" max="13" width="7.88671875" customWidth="1"/>
    <col min="14" max="14" width="5" customWidth="1"/>
    <col min="15" max="15" width="6.88671875" customWidth="1"/>
    <col min="16" max="16" width="5" customWidth="1"/>
    <col min="17" max="17" width="6.6640625" customWidth="1"/>
    <col min="18" max="18" width="5" customWidth="1"/>
    <col min="19" max="19" width="12.88671875" customWidth="1"/>
  </cols>
  <sheetData>
    <row r="1" spans="1:20" ht="13.2">
      <c r="A1" s="187" t="s">
        <v>38</v>
      </c>
      <c r="B1" s="167"/>
      <c r="C1" s="167"/>
      <c r="D1" s="167"/>
      <c r="E1" s="168"/>
      <c r="F1" s="188" t="s">
        <v>3</v>
      </c>
      <c r="G1" s="170"/>
      <c r="H1" s="170"/>
      <c r="I1" s="170"/>
      <c r="J1" s="170"/>
      <c r="K1" s="89" t="s">
        <v>39</v>
      </c>
      <c r="L1" s="90" t="s">
        <v>40</v>
      </c>
      <c r="M1" s="92" t="s">
        <v>39</v>
      </c>
      <c r="N1" s="90" t="s">
        <v>40</v>
      </c>
      <c r="O1" s="92" t="s">
        <v>39</v>
      </c>
      <c r="P1" s="90" t="s">
        <v>40</v>
      </c>
      <c r="Q1" s="92" t="s">
        <v>39</v>
      </c>
      <c r="R1" s="90" t="s">
        <v>40</v>
      </c>
      <c r="S1" s="94" t="s">
        <v>41</v>
      </c>
      <c r="T1" s="92" t="s">
        <v>42</v>
      </c>
    </row>
    <row r="2" spans="1:20" ht="13.8">
      <c r="A2" s="3" t="s">
        <v>13</v>
      </c>
      <c r="B2" s="3" t="s">
        <v>6</v>
      </c>
      <c r="C2" s="3" t="s">
        <v>7</v>
      </c>
      <c r="D2" s="3" t="s">
        <v>8</v>
      </c>
      <c r="E2" s="3" t="s">
        <v>9</v>
      </c>
      <c r="F2" s="4">
        <v>1</v>
      </c>
      <c r="G2" s="4">
        <v>2</v>
      </c>
      <c r="H2" s="4">
        <v>3</v>
      </c>
      <c r="I2" s="4">
        <v>4</v>
      </c>
      <c r="J2" s="4">
        <v>5</v>
      </c>
      <c r="K2" s="189">
        <v>1</v>
      </c>
      <c r="L2" s="170"/>
      <c r="M2" s="190">
        <v>2</v>
      </c>
      <c r="N2" s="170"/>
      <c r="O2" s="190">
        <v>3</v>
      </c>
      <c r="P2" s="170"/>
      <c r="Q2" s="190">
        <v>4</v>
      </c>
      <c r="R2" s="170"/>
      <c r="S2" s="45">
        <v>1.3</v>
      </c>
      <c r="T2" s="16">
        <v>86400</v>
      </c>
    </row>
    <row r="3" spans="1:20" ht="23.25" customHeight="1">
      <c r="A3" s="97">
        <f ca="1">IFERROR(__xludf.DUMMYFUNCTION("query(Data,""select A,D,C,Y where AD = TRUE"")"),3)</f>
        <v>3</v>
      </c>
      <c r="B3" s="100" t="str">
        <f ca="1">IFERROR(__xludf.DUMMYFUNCTION("""COMPUTED_VALUE"""),"Démáci")</f>
        <v>Démáci</v>
      </c>
      <c r="C3" s="101" t="str">
        <f ca="1">IFERROR(__xludf.DUMMYFUNCTION("""COMPUTED_VALUE"""),"DDM Uničov")</f>
        <v>DDM Uničov</v>
      </c>
      <c r="D3" s="103" t="str">
        <f ca="1">IFERROR(__xludf.DUMMYFUNCTION("""COMPUTED_VALUE"""),"ZŠ")</f>
        <v>ZŠ</v>
      </c>
      <c r="E3" s="104">
        <f t="shared" ref="E3:E14" si="0">MIN(F3:J3)</f>
        <v>4.1666666666666664E-2</v>
      </c>
      <c r="F3" s="105" t="str">
        <f t="shared" ref="F3:F13" si="1">IF(L3=1,K3/$T$2*$S$2,IF(L3=2,K3/$T$2*$S$2*2,IF(L3="-",IF(K3="","",IF(ISTEXT(K3),K3,K3/$T$2)))))</f>
        <v/>
      </c>
      <c r="G3" s="106" t="str">
        <f t="shared" ref="G3:G102" si="2">IF(N3=1,M3/$T$2*$S$2,IF(N3=2,M3/$T$2*$S$2*2,IF(N3="-",IF(M3="","",IF(ISTEXT(M3),M3,M3/$T$2)))))</f>
        <v/>
      </c>
      <c r="H3" s="106" t="str">
        <f t="shared" ref="H3:H102" si="3">IF(P3=1,O3/$T$2*$S$2,IF(P3=2,O3/$T$2*$S$2*2,IF(P3="-",IF(O3="","",IF(ISTEXT(O3),O3,O3/$T$2)))))</f>
        <v/>
      </c>
      <c r="I3" s="106" t="str">
        <f t="shared" ref="I3:I14" si="4">IF(R3=1,Q3/$T$2*$S$2,IF(R3=2,Q3/$T$2*$S$2*2,IF(R3="-",IF(Q3="","",IF(ISTEXT(Q3),Q3,Q3/$T$2)))))</f>
        <v/>
      </c>
      <c r="J3" s="12">
        <v>4.1666666666666664E-2</v>
      </c>
      <c r="K3" s="61"/>
      <c r="L3" s="108" t="s">
        <v>44</v>
      </c>
      <c r="N3" s="108" t="s">
        <v>44</v>
      </c>
      <c r="P3" s="108" t="s">
        <v>44</v>
      </c>
      <c r="R3" s="108" t="s">
        <v>44</v>
      </c>
    </row>
    <row r="4" spans="1:20" ht="22.5" customHeight="1">
      <c r="A4" s="15">
        <f ca="1">IFERROR(__xludf.DUMMYFUNCTION("""COMPUTED_VALUE"""),15)</f>
        <v>15</v>
      </c>
      <c r="B4" s="110" t="str">
        <f ca="1">IFERROR(__xludf.DUMMYFUNCTION("""COMPUTED_VALUE"""),"Big  Brains")</f>
        <v>Big  Brains</v>
      </c>
      <c r="C4" s="110" t="str">
        <f ca="1">IFERROR(__xludf.DUMMYFUNCTION("""COMPUTED_VALUE"""),"Kurz stavba a programování robotů Novolíšeňská")</f>
        <v>Kurz stavba a programování robotů Novolíšeňská</v>
      </c>
      <c r="D4" s="111" t="str">
        <f ca="1">IFERROR(__xludf.DUMMYFUNCTION("""COMPUTED_VALUE"""),"ZŠ")</f>
        <v>ZŠ</v>
      </c>
      <c r="E4" s="104">
        <f t="shared" si="0"/>
        <v>3.1458333333333333E-4</v>
      </c>
      <c r="F4" s="105" t="str">
        <f t="shared" si="1"/>
        <v>dnf</v>
      </c>
      <c r="G4" s="106">
        <f t="shared" si="2"/>
        <v>3.1458333333333333E-4</v>
      </c>
      <c r="H4" s="106" t="str">
        <f t="shared" si="3"/>
        <v/>
      </c>
      <c r="I4" s="106" t="str">
        <f t="shared" si="4"/>
        <v/>
      </c>
      <c r="J4" s="12">
        <v>4.1666666666666664E-2</v>
      </c>
      <c r="K4" s="61" t="s">
        <v>48</v>
      </c>
      <c r="L4" s="108" t="s">
        <v>44</v>
      </c>
      <c r="M4" s="16">
        <v>27.18</v>
      </c>
      <c r="N4" s="108" t="s">
        <v>44</v>
      </c>
      <c r="P4" s="108" t="s">
        <v>44</v>
      </c>
      <c r="R4" s="108" t="s">
        <v>44</v>
      </c>
    </row>
    <row r="5" spans="1:20" ht="27.6">
      <c r="A5" s="15">
        <f ca="1">IFERROR(__xludf.DUMMYFUNCTION("""COMPUTED_VALUE"""),16)</f>
        <v>16</v>
      </c>
      <c r="B5" s="110" t="str">
        <f ca="1">IFERROR(__xludf.DUMMYFUNCTION("""COMPUTED_VALUE"""),"Small brains")</f>
        <v>Small brains</v>
      </c>
      <c r="C5" s="110" t="str">
        <f ca="1">IFERROR(__xludf.DUMMYFUNCTION("""COMPUTED_VALUE"""),"Kurz stavby a programování robotů Židlochovice")</f>
        <v>Kurz stavby a programování robotů Židlochovice</v>
      </c>
      <c r="D5" s="111" t="str">
        <f ca="1">IFERROR(__xludf.DUMMYFUNCTION("""COMPUTED_VALUE"""),"ZŠ")</f>
        <v>ZŠ</v>
      </c>
      <c r="E5" s="104">
        <f t="shared" si="0"/>
        <v>4.1666666666666664E-2</v>
      </c>
      <c r="F5" s="105" t="str">
        <f t="shared" si="1"/>
        <v/>
      </c>
      <c r="G5" s="106" t="str">
        <f t="shared" si="2"/>
        <v/>
      </c>
      <c r="H5" s="106" t="str">
        <f t="shared" si="3"/>
        <v/>
      </c>
      <c r="I5" s="106" t="str">
        <f t="shared" si="4"/>
        <v/>
      </c>
      <c r="J5" s="12">
        <v>4.1666666666666664E-2</v>
      </c>
      <c r="K5" s="116"/>
      <c r="L5" s="108" t="s">
        <v>44</v>
      </c>
      <c r="N5" s="108" t="s">
        <v>44</v>
      </c>
      <c r="P5" s="108" t="s">
        <v>44</v>
      </c>
      <c r="R5" s="108" t="s">
        <v>44</v>
      </c>
    </row>
    <row r="6" spans="1:20" ht="27.6">
      <c r="A6" s="15">
        <f ca="1">IFERROR(__xludf.DUMMYFUNCTION("""COMPUTED_VALUE"""),18)</f>
        <v>18</v>
      </c>
      <c r="B6" s="110" t="str">
        <f ca="1">IFERROR(__xludf.DUMMYFUNCTION("""COMPUTED_VALUE"""),"Robotika Židlochovice")</f>
        <v>Robotika Židlochovice</v>
      </c>
      <c r="C6" s="110" t="str">
        <f ca="1">IFERROR(__xludf.DUMMYFUNCTION("""COMPUTED_VALUE"""),"ZŠ Židlochovice")</f>
        <v>ZŠ Židlochovice</v>
      </c>
      <c r="D6" s="111" t="str">
        <f ca="1">IFERROR(__xludf.DUMMYFUNCTION("""COMPUTED_VALUE"""),"ZŠ")</f>
        <v>ZŠ</v>
      </c>
      <c r="E6" s="104">
        <f t="shared" si="0"/>
        <v>4.1666666666666664E-2</v>
      </c>
      <c r="F6" s="105" t="str">
        <f t="shared" si="1"/>
        <v/>
      </c>
      <c r="G6" s="106" t="str">
        <f t="shared" si="2"/>
        <v/>
      </c>
      <c r="H6" s="106" t="str">
        <f t="shared" si="3"/>
        <v/>
      </c>
      <c r="I6" s="106" t="str">
        <f t="shared" si="4"/>
        <v/>
      </c>
      <c r="J6" s="12">
        <v>4.1666666666666664E-2</v>
      </c>
      <c r="K6" s="116"/>
      <c r="L6" s="108" t="s">
        <v>44</v>
      </c>
      <c r="N6" s="108" t="s">
        <v>44</v>
      </c>
      <c r="P6" s="108" t="s">
        <v>44</v>
      </c>
      <c r="R6" s="108" t="s">
        <v>44</v>
      </c>
    </row>
    <row r="7" spans="1:20" ht="27.6">
      <c r="A7" s="15">
        <f ca="1">IFERROR(__xludf.DUMMYFUNCTION("""COMPUTED_VALUE"""),27)</f>
        <v>27</v>
      </c>
      <c r="B7" s="110" t="str">
        <f ca="1">IFERROR(__xludf.DUMMYFUNCTION("""COMPUTED_VALUE"""),"Potvory s.r.o.")</f>
        <v>Potvory s.r.o.</v>
      </c>
      <c r="C7" s="120" t="str">
        <f ca="1">IFERROR(__xludf.DUMMYFUNCTION("""COMPUTED_VALUE"""),"Robotárna DDM Helceletova Brno")</f>
        <v>Robotárna DDM Helceletova Brno</v>
      </c>
      <c r="D7" s="111" t="str">
        <f ca="1">IFERROR(__xludf.DUMMYFUNCTION("""COMPUTED_VALUE"""),"SŠ")</f>
        <v>SŠ</v>
      </c>
      <c r="E7" s="104">
        <f t="shared" si="0"/>
        <v>4.1666666666666664E-2</v>
      </c>
      <c r="F7" s="105" t="str">
        <f t="shared" si="1"/>
        <v>dnf</v>
      </c>
      <c r="G7" s="106" t="str">
        <f t="shared" si="2"/>
        <v>dnf</v>
      </c>
      <c r="H7" s="106" t="str">
        <f t="shared" si="3"/>
        <v/>
      </c>
      <c r="I7" s="106" t="str">
        <f t="shared" si="4"/>
        <v/>
      </c>
      <c r="J7" s="12">
        <v>4.1666666666666664E-2</v>
      </c>
      <c r="K7" s="61" t="s">
        <v>48</v>
      </c>
      <c r="L7" s="108" t="s">
        <v>44</v>
      </c>
      <c r="M7" s="16" t="s">
        <v>48</v>
      </c>
      <c r="N7" s="108" t="s">
        <v>44</v>
      </c>
      <c r="P7" s="108" t="s">
        <v>44</v>
      </c>
      <c r="R7" s="108" t="s">
        <v>44</v>
      </c>
    </row>
    <row r="8" spans="1:20" ht="27.6">
      <c r="A8" s="34">
        <f ca="1">IFERROR(__xludf.DUMMYFUNCTION("""COMPUTED_VALUE"""),48)</f>
        <v>48</v>
      </c>
      <c r="B8" s="110" t="str">
        <f ca="1">IFERROR(__xludf.DUMMYFUNCTION("""COMPUTED_VALUE"""),"Old John")</f>
        <v>Old John</v>
      </c>
      <c r="C8" s="110" t="str">
        <f ca="1">IFERROR(__xludf.DUMMYFUNCTION("""COMPUTED_VALUE"""),"SPŠ informačných technológií Kysucké Nové Mesto")</f>
        <v>SPŠ informačných technológií Kysucké Nové Mesto</v>
      </c>
      <c r="D8" s="111" t="str">
        <f ca="1">IFERROR(__xludf.DUMMYFUNCTION("""COMPUTED_VALUE"""),"SŠ")</f>
        <v>SŠ</v>
      </c>
      <c r="E8" s="104">
        <f t="shared" si="0"/>
        <v>4.8495370370370375E-5</v>
      </c>
      <c r="F8" s="105" t="str">
        <f t="shared" si="1"/>
        <v>dnf</v>
      </c>
      <c r="G8" s="106">
        <f t="shared" si="2"/>
        <v>4.8495370370370375E-5</v>
      </c>
      <c r="H8" s="106" t="str">
        <f t="shared" si="3"/>
        <v/>
      </c>
      <c r="I8" s="106" t="str">
        <f t="shared" si="4"/>
        <v/>
      </c>
      <c r="J8" s="12">
        <v>4.1666666666666664E-2</v>
      </c>
      <c r="K8" s="61" t="s">
        <v>48</v>
      </c>
      <c r="L8" s="108" t="s">
        <v>44</v>
      </c>
      <c r="M8" s="16">
        <v>4.1900000000000004</v>
      </c>
      <c r="N8" s="108" t="s">
        <v>44</v>
      </c>
      <c r="P8" s="108" t="s">
        <v>44</v>
      </c>
      <c r="R8" s="108" t="s">
        <v>44</v>
      </c>
    </row>
    <row r="9" spans="1:20" ht="27.6">
      <c r="A9" s="15">
        <f ca="1">IFERROR(__xludf.DUMMYFUNCTION("""COMPUTED_VALUE"""),49)</f>
        <v>49</v>
      </c>
      <c r="B9" s="110" t="str">
        <f ca="1">IFERROR(__xludf.DUMMYFUNCTION("""COMPUTED_VALUE"""),"Medium John")</f>
        <v>Medium John</v>
      </c>
      <c r="C9" s="120" t="str">
        <f ca="1">IFERROR(__xludf.DUMMYFUNCTION("""COMPUTED_VALUE"""),"SPŠ informačných technológií Kysucké Nové Mesto")</f>
        <v>SPŠ informačných technológií Kysucké Nové Mesto</v>
      </c>
      <c r="D9" s="111" t="str">
        <f ca="1">IFERROR(__xludf.DUMMYFUNCTION("""COMPUTED_VALUE"""),"SŠ")</f>
        <v>SŠ</v>
      </c>
      <c r="E9" s="104">
        <f t="shared" si="0"/>
        <v>4.1666666666666664E-2</v>
      </c>
      <c r="F9" s="105" t="str">
        <f t="shared" si="1"/>
        <v>dnf</v>
      </c>
      <c r="G9" s="106" t="str">
        <f t="shared" si="2"/>
        <v>dnf</v>
      </c>
      <c r="H9" s="106" t="str">
        <f t="shared" si="3"/>
        <v/>
      </c>
      <c r="I9" s="106" t="str">
        <f t="shared" si="4"/>
        <v/>
      </c>
      <c r="J9" s="12">
        <v>4.1666666666666664E-2</v>
      </c>
      <c r="K9" s="61" t="s">
        <v>48</v>
      </c>
      <c r="L9" s="108" t="s">
        <v>44</v>
      </c>
      <c r="M9" s="16" t="s">
        <v>48</v>
      </c>
      <c r="N9" s="108" t="s">
        <v>44</v>
      </c>
      <c r="P9" s="108" t="s">
        <v>44</v>
      </c>
      <c r="R9" s="108" t="s">
        <v>44</v>
      </c>
    </row>
    <row r="10" spans="1:20" ht="13.8">
      <c r="A10" s="34">
        <f ca="1">IFERROR(__xludf.DUMMYFUNCTION("""COMPUTED_VALUE"""),80)</f>
        <v>80</v>
      </c>
      <c r="B10" s="110" t="str">
        <f ca="1">IFERROR(__xludf.DUMMYFUNCTION("""COMPUTED_VALUE"""),"WZM Team")</f>
        <v>WZM Team</v>
      </c>
      <c r="C10" s="110" t="str">
        <f ca="1">IFERROR(__xludf.DUMMYFUNCTION("""COMPUTED_VALUE"""),"Gymnázium Zlín - Lesní čtvrť")</f>
        <v>Gymnázium Zlín - Lesní čtvrť</v>
      </c>
      <c r="D10" s="111" t="str">
        <f ca="1">IFERROR(__xludf.DUMMYFUNCTION("""COMPUTED_VALUE"""),"SŠ")</f>
        <v>SŠ</v>
      </c>
      <c r="E10" s="104">
        <f t="shared" si="0"/>
        <v>3.5879629629629629E-5</v>
      </c>
      <c r="F10" s="105" t="str">
        <f t="shared" si="1"/>
        <v>dnf</v>
      </c>
      <c r="G10" s="106">
        <f t="shared" si="2"/>
        <v>3.5879629629629629E-5</v>
      </c>
      <c r="H10" s="106" t="str">
        <f t="shared" si="3"/>
        <v/>
      </c>
      <c r="I10" s="106" t="str">
        <f t="shared" si="4"/>
        <v/>
      </c>
      <c r="J10" s="12">
        <v>4.1666666666666664E-2</v>
      </c>
      <c r="K10" s="61" t="s">
        <v>48</v>
      </c>
      <c r="L10" s="108" t="s">
        <v>44</v>
      </c>
      <c r="M10" s="16">
        <v>3.1</v>
      </c>
      <c r="N10" s="108" t="s">
        <v>44</v>
      </c>
      <c r="P10" s="108" t="s">
        <v>44</v>
      </c>
      <c r="R10" s="108" t="s">
        <v>44</v>
      </c>
    </row>
    <row r="11" spans="1:20" ht="13.8">
      <c r="A11" s="15">
        <f ca="1">IFERROR(__xludf.DUMMYFUNCTION("""COMPUTED_VALUE"""),120)</f>
        <v>120</v>
      </c>
      <c r="B11" s="110" t="str">
        <f ca="1">IFERROR(__xludf.DUMMYFUNCTION("""COMPUTED_VALUE"""),"RoboPalach")</f>
        <v>RoboPalach</v>
      </c>
      <c r="C11" s="110" t="str">
        <f ca="1">IFERROR(__xludf.DUMMYFUNCTION("""COMPUTED_VALUE"""),"Gymnázium Jana Palacha Mělník")</f>
        <v>Gymnázium Jana Palacha Mělník</v>
      </c>
      <c r="D11" s="111" t="str">
        <f ca="1">IFERROR(__xludf.DUMMYFUNCTION("""COMPUTED_VALUE"""),"SŠ")</f>
        <v>SŠ</v>
      </c>
      <c r="E11" s="104">
        <f t="shared" si="0"/>
        <v>4.1666666666666664E-2</v>
      </c>
      <c r="F11" s="105" t="str">
        <f t="shared" si="1"/>
        <v/>
      </c>
      <c r="G11" s="106" t="str">
        <f t="shared" si="2"/>
        <v/>
      </c>
      <c r="H11" s="106" t="str">
        <f t="shared" si="3"/>
        <v/>
      </c>
      <c r="I11" s="106" t="str">
        <f t="shared" si="4"/>
        <v/>
      </c>
      <c r="J11" s="12">
        <v>4.1666666666666664E-2</v>
      </c>
      <c r="K11" s="116"/>
      <c r="L11" s="108" t="s">
        <v>44</v>
      </c>
      <c r="N11" s="108" t="s">
        <v>44</v>
      </c>
      <c r="P11" s="108" t="s">
        <v>44</v>
      </c>
      <c r="R11" s="108" t="s">
        <v>44</v>
      </c>
    </row>
    <row r="12" spans="1:20" ht="27.6">
      <c r="A12" s="15">
        <f ca="1">IFERROR(__xludf.DUMMYFUNCTION("""COMPUTED_VALUE"""),134)</f>
        <v>134</v>
      </c>
      <c r="B12" s="110" t="str">
        <f ca="1">IFERROR(__xludf.DUMMYFUNCTION("""COMPUTED_VALUE"""),"Vrakoslav")</f>
        <v>Vrakoslav</v>
      </c>
      <c r="C12" s="121" t="str">
        <f ca="1">IFERROR(__xludf.DUMMYFUNCTION("""COMPUTED_VALUE"""),"Masarykovo klasické gymnázium Říčany")</f>
        <v>Masarykovo klasické gymnázium Říčany</v>
      </c>
      <c r="D12" s="111" t="str">
        <f ca="1">IFERROR(__xludf.DUMMYFUNCTION("""COMPUTED_VALUE"""),"SŠ")</f>
        <v>SŠ</v>
      </c>
      <c r="E12" s="104">
        <f t="shared" si="0"/>
        <v>4.1666666666666664E-2</v>
      </c>
      <c r="F12" s="105" t="str">
        <f t="shared" si="1"/>
        <v/>
      </c>
      <c r="G12" s="106" t="str">
        <f t="shared" si="2"/>
        <v/>
      </c>
      <c r="H12" s="106" t="str">
        <f t="shared" si="3"/>
        <v/>
      </c>
      <c r="I12" s="106" t="str">
        <f t="shared" si="4"/>
        <v/>
      </c>
      <c r="J12" s="12">
        <v>4.1666666666666664E-2</v>
      </c>
      <c r="K12" s="116"/>
      <c r="L12" s="108" t="s">
        <v>44</v>
      </c>
      <c r="N12" s="108" t="s">
        <v>44</v>
      </c>
      <c r="P12" s="108" t="s">
        <v>44</v>
      </c>
      <c r="R12" s="108" t="s">
        <v>44</v>
      </c>
    </row>
    <row r="13" spans="1:20" ht="13.8">
      <c r="A13" s="15">
        <f ca="1">IFERROR(__xludf.DUMMYFUNCTION("""COMPUTED_VALUE"""),141)</f>
        <v>141</v>
      </c>
      <c r="B13" s="110" t="str">
        <f ca="1">IFERROR(__xludf.DUMMYFUNCTION("""COMPUTED_VALUE"""),"DELTA")</f>
        <v>DELTA</v>
      </c>
      <c r="C13" s="110" t="str">
        <f ca="1">IFERROR(__xludf.DUMMYFUNCTION("""COMPUTED_VALUE"""),"SPŠ elektrotechnická Prešov")</f>
        <v>SPŠ elektrotechnická Prešov</v>
      </c>
      <c r="D13" s="111" t="str">
        <f ca="1">IFERROR(__xludf.DUMMYFUNCTION("""COMPUTED_VALUE"""),"SŠ")</f>
        <v>SŠ</v>
      </c>
      <c r="E13" s="104">
        <f t="shared" si="0"/>
        <v>4.1666666666666664E-2</v>
      </c>
      <c r="F13" s="105" t="str">
        <f t="shared" si="1"/>
        <v/>
      </c>
      <c r="G13" s="106" t="str">
        <f t="shared" si="2"/>
        <v/>
      </c>
      <c r="H13" s="106" t="str">
        <f t="shared" si="3"/>
        <v/>
      </c>
      <c r="I13" s="106" t="str">
        <f t="shared" si="4"/>
        <v/>
      </c>
      <c r="J13" s="12">
        <v>4.1666666666666664E-2</v>
      </c>
      <c r="K13" s="116"/>
      <c r="L13" s="108" t="s">
        <v>44</v>
      </c>
      <c r="N13" s="108" t="s">
        <v>44</v>
      </c>
      <c r="P13" s="108" t="s">
        <v>44</v>
      </c>
      <c r="R13" s="108" t="s">
        <v>44</v>
      </c>
    </row>
    <row r="14" spans="1:20" ht="13.8">
      <c r="A14" s="15">
        <f ca="1">IFERROR(__xludf.DUMMYFUNCTION("""COMPUTED_VALUE"""),143)</f>
        <v>143</v>
      </c>
      <c r="B14" s="110" t="str">
        <f ca="1">IFERROR(__xludf.DUMMYFUNCTION("""COMPUTED_VALUE"""),"Jazdaa")</f>
        <v>Jazdaa</v>
      </c>
      <c r="C14" s="120" t="str">
        <f ca="1">IFERROR(__xludf.DUMMYFUNCTION("""COMPUTED_VALUE"""),"SPŠ Prosek")</f>
        <v>SPŠ Prosek</v>
      </c>
      <c r="D14" s="111" t="str">
        <f ca="1">IFERROR(__xludf.DUMMYFUNCTION("""COMPUTED_VALUE"""),"SŠ")</f>
        <v>SŠ</v>
      </c>
      <c r="E14" s="104">
        <f t="shared" si="0"/>
        <v>4.1666666666666664E-2</v>
      </c>
      <c r="F14" s="68" t="s">
        <v>48</v>
      </c>
      <c r="G14" s="106" t="str">
        <f t="shared" si="2"/>
        <v/>
      </c>
      <c r="H14" s="106" t="str">
        <f t="shared" si="3"/>
        <v/>
      </c>
      <c r="I14" s="106" t="str">
        <f t="shared" si="4"/>
        <v/>
      </c>
      <c r="J14" s="12">
        <v>4.1666666666666664E-2</v>
      </c>
      <c r="K14" s="16" t="s">
        <v>48</v>
      </c>
      <c r="L14" s="108" t="s">
        <v>44</v>
      </c>
      <c r="N14" s="108" t="s">
        <v>44</v>
      </c>
      <c r="P14" s="108" t="s">
        <v>44</v>
      </c>
      <c r="R14" s="108" t="s">
        <v>44</v>
      </c>
    </row>
    <row r="15" spans="1:20" ht="18.75" customHeight="1">
      <c r="A15" s="15">
        <f ca="1">IFERROR(__xludf.DUMMYFUNCTION("""COMPUTED_VALUE"""),152)</f>
        <v>152</v>
      </c>
      <c r="B15" s="110" t="str">
        <f ca="1">IFERROR(__xludf.DUMMYFUNCTION("""COMPUTED_VALUE"""),"Problémy")</f>
        <v>Problémy</v>
      </c>
      <c r="C15" s="110" t="str">
        <f ca="1">IFERROR(__xludf.DUMMYFUNCTION("""COMPUTED_VALUE"""),"VOŠ, SŠ, COP Sezimovo Ústí")</f>
        <v>VOŠ, SŠ, COP Sezimovo Ústí</v>
      </c>
      <c r="D15" s="111" t="str">
        <f ca="1">IFERROR(__xludf.DUMMYFUNCTION("""COMPUTED_VALUE"""),"SŠ")</f>
        <v>SŠ</v>
      </c>
      <c r="E15" s="123">
        <v>0.15625</v>
      </c>
      <c r="F15" s="68">
        <v>3.45</v>
      </c>
      <c r="G15" s="106">
        <f t="shared" si="2"/>
        <v>5.3263888888888895E-5</v>
      </c>
      <c r="H15" s="106" t="str">
        <f t="shared" si="3"/>
        <v/>
      </c>
      <c r="I15" s="106"/>
      <c r="J15" s="12">
        <v>4.1666666666666664E-2</v>
      </c>
      <c r="K15" s="61">
        <v>3.45</v>
      </c>
      <c r="L15" s="108" t="s">
        <v>44</v>
      </c>
      <c r="M15" s="16">
        <v>3.54</v>
      </c>
      <c r="N15" s="108">
        <v>1</v>
      </c>
      <c r="P15" s="108" t="s">
        <v>44</v>
      </c>
      <c r="R15" s="108" t="s">
        <v>44</v>
      </c>
    </row>
    <row r="16" spans="1:20" ht="27.6">
      <c r="A16" s="15">
        <f ca="1">IFERROR(__xludf.DUMMYFUNCTION("""COMPUTED_VALUE"""),155)</f>
        <v>155</v>
      </c>
      <c r="B16" s="110" t="str">
        <f ca="1">IFERROR(__xludf.DUMMYFUNCTION("""COMPUTED_VALUE"""),"Nerdíci z kvarty")</f>
        <v>Nerdíci z kvarty</v>
      </c>
      <c r="C16" s="110" t="str">
        <f ca="1">IFERROR(__xludf.DUMMYFUNCTION("""COMPUTED_VALUE"""),"Wichterlovo gymnázium, Ostrava-Poruba")</f>
        <v>Wichterlovo gymnázium, Ostrava-Poruba</v>
      </c>
      <c r="D16" s="111" t="str">
        <f ca="1">IFERROR(__xludf.DUMMYFUNCTION("""COMPUTED_VALUE"""),"ZŠ")</f>
        <v>ZŠ</v>
      </c>
      <c r="E16" s="104">
        <f t="shared" ref="E16:E102" si="5">MIN(F16:J16)</f>
        <v>4.1666666666666664E-2</v>
      </c>
      <c r="F16" s="105" t="str">
        <f t="shared" ref="F16:F102" si="6">IF(L16=1,K16/$T$2*$S$2,IF(L16=2,K16/$T$2*$S$2*2,IF(L16="-",IF(K16="","",IF(ISTEXT(K16),K16,K16/$T$2)))))</f>
        <v/>
      </c>
      <c r="G16" s="106" t="str">
        <f t="shared" si="2"/>
        <v/>
      </c>
      <c r="H16" s="106" t="str">
        <f t="shared" si="3"/>
        <v/>
      </c>
      <c r="I16" s="106" t="str">
        <f t="shared" ref="I16:I102" si="7">IF(R16=1,Q16/$T$2*$S$2,IF(R16=2,Q16/$T$2*$S$2*2,IF(R16="-",IF(Q16="","",IF(ISTEXT(Q16),Q16,Q16/$T$2)))))</f>
        <v/>
      </c>
      <c r="J16" s="12">
        <v>4.1666666666666664E-2</v>
      </c>
      <c r="K16" s="116"/>
      <c r="L16" s="108" t="s">
        <v>44</v>
      </c>
      <c r="N16" s="108" t="s">
        <v>44</v>
      </c>
      <c r="P16" s="108" t="s">
        <v>44</v>
      </c>
      <c r="R16" s="108" t="s">
        <v>44</v>
      </c>
    </row>
    <row r="17" spans="1:18" ht="13.8">
      <c r="A17" s="15">
        <f ca="1">IFERROR(__xludf.DUMMYFUNCTION("""COMPUTED_VALUE"""),159)</f>
        <v>159</v>
      </c>
      <c r="B17" s="110" t="str">
        <f ca="1">IFERROR(__xludf.DUMMYFUNCTION("""COMPUTED_VALUE"""),"Zajkovia")</f>
        <v>Zajkovia</v>
      </c>
      <c r="C17" s="120" t="str">
        <f ca="1">IFERROR(__xludf.DUMMYFUNCTION("""COMPUTED_VALUE"""),"ZŠ Bratislava, Mudroňova")</f>
        <v>ZŠ Bratislava, Mudroňova</v>
      </c>
      <c r="D17" s="111" t="str">
        <f ca="1">IFERROR(__xludf.DUMMYFUNCTION("""COMPUTED_VALUE"""),"ZŠ")</f>
        <v>ZŠ</v>
      </c>
      <c r="E17" s="104">
        <f t="shared" si="5"/>
        <v>5.8101851851851846E-5</v>
      </c>
      <c r="F17" s="105" t="str">
        <f t="shared" si="6"/>
        <v/>
      </c>
      <c r="G17" s="106">
        <f t="shared" si="2"/>
        <v>5.8101851851851846E-5</v>
      </c>
      <c r="H17" s="106" t="str">
        <f t="shared" si="3"/>
        <v/>
      </c>
      <c r="I17" s="106" t="str">
        <f t="shared" si="7"/>
        <v/>
      </c>
      <c r="J17" s="12">
        <v>4.1666666666666664E-2</v>
      </c>
      <c r="K17" s="116"/>
      <c r="L17" s="108" t="s">
        <v>44</v>
      </c>
      <c r="M17" s="16">
        <v>5.0199999999999996</v>
      </c>
      <c r="N17" s="108" t="s">
        <v>44</v>
      </c>
      <c r="P17" s="108" t="s">
        <v>44</v>
      </c>
      <c r="R17" s="108" t="s">
        <v>44</v>
      </c>
    </row>
    <row r="18" spans="1:18" ht="27.6">
      <c r="A18" s="15">
        <f ca="1">IFERROR(__xludf.DUMMYFUNCTION("""COMPUTED_VALUE"""),177)</f>
        <v>177</v>
      </c>
      <c r="B18" s="110" t="str">
        <f ca="1">IFERROR(__xludf.DUMMYFUNCTION("""COMPUTED_VALUE"""),"Dift")</f>
        <v>Dift</v>
      </c>
      <c r="C18" s="110" t="str">
        <f ca="1">IFERROR(__xludf.DUMMYFUNCTION("""COMPUTED_VALUE"""),"Gymnázium Martina Hattalu Trstená")</f>
        <v>Gymnázium Martina Hattalu Trstená</v>
      </c>
      <c r="D18" s="111" t="str">
        <f ca="1">IFERROR(__xludf.DUMMYFUNCTION("""COMPUTED_VALUE"""),"SŠ")</f>
        <v>SŠ</v>
      </c>
      <c r="E18" s="104">
        <f t="shared" si="5"/>
        <v>4.1666666666666664E-2</v>
      </c>
      <c r="F18" s="105" t="str">
        <f t="shared" si="6"/>
        <v/>
      </c>
      <c r="G18" s="106" t="str">
        <f t="shared" si="2"/>
        <v/>
      </c>
      <c r="H18" s="106" t="str">
        <f t="shared" si="3"/>
        <v/>
      </c>
      <c r="I18" s="106" t="str">
        <f t="shared" si="7"/>
        <v/>
      </c>
      <c r="J18" s="12">
        <v>4.1666666666666664E-2</v>
      </c>
      <c r="K18" s="116"/>
      <c r="L18" s="108" t="s">
        <v>44</v>
      </c>
      <c r="N18" s="108" t="s">
        <v>44</v>
      </c>
      <c r="P18" s="108" t="s">
        <v>44</v>
      </c>
      <c r="R18" s="108" t="s">
        <v>44</v>
      </c>
    </row>
    <row r="19" spans="1:18" ht="13.8">
      <c r="A19" s="29">
        <v>114</v>
      </c>
      <c r="B19" s="110"/>
      <c r="C19" s="121" t="s">
        <v>163</v>
      </c>
      <c r="D19" s="124" t="s">
        <v>164</v>
      </c>
      <c r="E19" s="104">
        <f t="shared" si="5"/>
        <v>4.423611111111111E-5</v>
      </c>
      <c r="F19" s="105">
        <f t="shared" si="6"/>
        <v>4.423611111111111E-5</v>
      </c>
      <c r="G19" s="106" t="str">
        <f t="shared" si="2"/>
        <v>dnf</v>
      </c>
      <c r="H19" s="106" t="str">
        <f t="shared" si="3"/>
        <v/>
      </c>
      <c r="I19" s="106" t="str">
        <f t="shared" si="7"/>
        <v/>
      </c>
      <c r="J19" s="12">
        <v>4.1666666666666664E-2</v>
      </c>
      <c r="K19" s="61">
        <v>2.94</v>
      </c>
      <c r="L19" s="108">
        <v>1</v>
      </c>
      <c r="M19" s="16" t="s">
        <v>48</v>
      </c>
      <c r="N19" s="108" t="s">
        <v>44</v>
      </c>
      <c r="P19" s="108" t="s">
        <v>44</v>
      </c>
      <c r="R19" s="108" t="s">
        <v>44</v>
      </c>
    </row>
    <row r="20" spans="1:18" ht="13.8">
      <c r="A20" s="34"/>
      <c r="B20" s="110"/>
      <c r="C20" s="110"/>
      <c r="D20" s="111"/>
      <c r="E20" s="104">
        <f t="shared" si="5"/>
        <v>4.1666666666666664E-2</v>
      </c>
      <c r="F20" s="105" t="str">
        <f t="shared" si="6"/>
        <v/>
      </c>
      <c r="G20" s="106" t="str">
        <f t="shared" si="2"/>
        <v/>
      </c>
      <c r="H20" s="106" t="str">
        <f t="shared" si="3"/>
        <v/>
      </c>
      <c r="I20" s="106" t="str">
        <f t="shared" si="7"/>
        <v/>
      </c>
      <c r="J20" s="12">
        <v>4.1666666666666664E-2</v>
      </c>
      <c r="K20" s="116"/>
      <c r="L20" s="108" t="s">
        <v>44</v>
      </c>
      <c r="N20" s="108" t="s">
        <v>44</v>
      </c>
      <c r="P20" s="108" t="s">
        <v>44</v>
      </c>
      <c r="R20" s="108" t="s">
        <v>44</v>
      </c>
    </row>
    <row r="21" spans="1:18" ht="13.8">
      <c r="A21" s="15"/>
      <c r="B21" s="110"/>
      <c r="C21" s="120"/>
      <c r="D21" s="111"/>
      <c r="E21" s="104">
        <f t="shared" si="5"/>
        <v>4.1666666666666664E-2</v>
      </c>
      <c r="F21" s="105" t="str">
        <f t="shared" si="6"/>
        <v/>
      </c>
      <c r="G21" s="106" t="str">
        <f t="shared" si="2"/>
        <v/>
      </c>
      <c r="H21" s="106" t="str">
        <f t="shared" si="3"/>
        <v/>
      </c>
      <c r="I21" s="106" t="str">
        <f t="shared" si="7"/>
        <v/>
      </c>
      <c r="J21" s="12">
        <v>4.1666666666666664E-2</v>
      </c>
      <c r="K21" s="116"/>
      <c r="L21" s="108" t="s">
        <v>44</v>
      </c>
      <c r="N21" s="108" t="s">
        <v>44</v>
      </c>
      <c r="P21" s="108" t="s">
        <v>44</v>
      </c>
      <c r="R21" s="108" t="s">
        <v>44</v>
      </c>
    </row>
    <row r="22" spans="1:18" ht="13.8">
      <c r="A22" s="34"/>
      <c r="B22" s="110"/>
      <c r="C22" s="110"/>
      <c r="D22" s="111"/>
      <c r="E22" s="104">
        <f t="shared" si="5"/>
        <v>4.1666666666666664E-2</v>
      </c>
      <c r="F22" s="105" t="str">
        <f t="shared" si="6"/>
        <v/>
      </c>
      <c r="G22" s="106" t="str">
        <f t="shared" si="2"/>
        <v/>
      </c>
      <c r="H22" s="106" t="str">
        <f t="shared" si="3"/>
        <v/>
      </c>
      <c r="I22" s="106" t="str">
        <f t="shared" si="7"/>
        <v/>
      </c>
      <c r="J22" s="12">
        <v>4.1666666666666664E-2</v>
      </c>
      <c r="K22" s="116"/>
      <c r="L22" s="108" t="s">
        <v>44</v>
      </c>
      <c r="N22" s="108" t="s">
        <v>44</v>
      </c>
      <c r="P22" s="108" t="s">
        <v>44</v>
      </c>
      <c r="R22" s="108" t="s">
        <v>44</v>
      </c>
    </row>
    <row r="23" spans="1:18" ht="13.8">
      <c r="A23" s="15"/>
      <c r="B23" s="110"/>
      <c r="C23" s="110"/>
      <c r="D23" s="111"/>
      <c r="E23" s="104">
        <f t="shared" si="5"/>
        <v>4.1666666666666664E-2</v>
      </c>
      <c r="F23" s="105" t="str">
        <f t="shared" si="6"/>
        <v/>
      </c>
      <c r="G23" s="106" t="str">
        <f t="shared" si="2"/>
        <v/>
      </c>
      <c r="H23" s="106" t="str">
        <f t="shared" si="3"/>
        <v/>
      </c>
      <c r="I23" s="106" t="str">
        <f t="shared" si="7"/>
        <v/>
      </c>
      <c r="J23" s="12">
        <v>4.1666666666666664E-2</v>
      </c>
      <c r="K23" s="116"/>
      <c r="L23" s="108" t="s">
        <v>44</v>
      </c>
      <c r="N23" s="108" t="s">
        <v>44</v>
      </c>
      <c r="P23" s="108" t="s">
        <v>44</v>
      </c>
      <c r="R23" s="108" t="s">
        <v>44</v>
      </c>
    </row>
    <row r="24" spans="1:18" ht="13.8">
      <c r="A24" s="15"/>
      <c r="B24" s="110"/>
      <c r="C24" s="110"/>
      <c r="D24" s="111"/>
      <c r="E24" s="104">
        <f t="shared" si="5"/>
        <v>4.1666666666666664E-2</v>
      </c>
      <c r="F24" s="105" t="str">
        <f t="shared" si="6"/>
        <v/>
      </c>
      <c r="G24" s="106" t="str">
        <f t="shared" si="2"/>
        <v/>
      </c>
      <c r="H24" s="106" t="str">
        <f t="shared" si="3"/>
        <v/>
      </c>
      <c r="I24" s="106" t="str">
        <f t="shared" si="7"/>
        <v/>
      </c>
      <c r="J24" s="12">
        <v>4.1666666666666664E-2</v>
      </c>
      <c r="K24" s="116"/>
      <c r="L24" s="108" t="s">
        <v>44</v>
      </c>
      <c r="N24" s="108" t="s">
        <v>44</v>
      </c>
      <c r="P24" s="108" t="s">
        <v>44</v>
      </c>
      <c r="R24" s="108" t="s">
        <v>44</v>
      </c>
    </row>
    <row r="25" spans="1:18" ht="13.8">
      <c r="A25" s="34"/>
      <c r="B25" s="110"/>
      <c r="C25" s="110"/>
      <c r="D25" s="111"/>
      <c r="E25" s="104">
        <f t="shared" si="5"/>
        <v>4.1666666666666664E-2</v>
      </c>
      <c r="F25" s="105" t="str">
        <f t="shared" si="6"/>
        <v/>
      </c>
      <c r="G25" s="106" t="str">
        <f t="shared" si="2"/>
        <v/>
      </c>
      <c r="H25" s="106" t="str">
        <f t="shared" si="3"/>
        <v/>
      </c>
      <c r="I25" s="106" t="str">
        <f t="shared" si="7"/>
        <v/>
      </c>
      <c r="J25" s="12">
        <v>4.1666666666666664E-2</v>
      </c>
      <c r="K25" s="116"/>
      <c r="L25" s="108" t="s">
        <v>44</v>
      </c>
      <c r="N25" s="108" t="s">
        <v>44</v>
      </c>
      <c r="P25" s="108" t="s">
        <v>44</v>
      </c>
      <c r="R25" s="108" t="s">
        <v>44</v>
      </c>
    </row>
    <row r="26" spans="1:18" ht="13.8">
      <c r="A26" s="34"/>
      <c r="B26" s="110"/>
      <c r="C26" s="110"/>
      <c r="D26" s="111"/>
      <c r="E26" s="104">
        <f t="shared" si="5"/>
        <v>4.1666666666666664E-2</v>
      </c>
      <c r="F26" s="105" t="str">
        <f t="shared" si="6"/>
        <v/>
      </c>
      <c r="G26" s="106" t="str">
        <f t="shared" si="2"/>
        <v/>
      </c>
      <c r="H26" s="106" t="str">
        <f t="shared" si="3"/>
        <v/>
      </c>
      <c r="I26" s="106" t="str">
        <f t="shared" si="7"/>
        <v/>
      </c>
      <c r="J26" s="12">
        <v>4.1666666666666664E-2</v>
      </c>
      <c r="K26" s="116"/>
      <c r="L26" s="108" t="s">
        <v>44</v>
      </c>
      <c r="N26" s="108" t="s">
        <v>44</v>
      </c>
      <c r="P26" s="108" t="s">
        <v>44</v>
      </c>
      <c r="R26" s="108" t="s">
        <v>44</v>
      </c>
    </row>
    <row r="27" spans="1:18" ht="13.8">
      <c r="A27" s="15"/>
      <c r="B27" s="110"/>
      <c r="C27" s="110"/>
      <c r="D27" s="111"/>
      <c r="E27" s="104">
        <f t="shared" si="5"/>
        <v>4.1666666666666664E-2</v>
      </c>
      <c r="F27" s="105" t="str">
        <f t="shared" si="6"/>
        <v/>
      </c>
      <c r="G27" s="106" t="str">
        <f t="shared" si="2"/>
        <v/>
      </c>
      <c r="H27" s="106" t="str">
        <f t="shared" si="3"/>
        <v/>
      </c>
      <c r="I27" s="106" t="str">
        <f t="shared" si="7"/>
        <v/>
      </c>
      <c r="J27" s="12">
        <v>4.1666666666666664E-2</v>
      </c>
      <c r="K27" s="116"/>
      <c r="L27" s="108" t="s">
        <v>44</v>
      </c>
      <c r="N27" s="108" t="s">
        <v>44</v>
      </c>
      <c r="P27" s="108" t="s">
        <v>44</v>
      </c>
      <c r="R27" s="108" t="s">
        <v>44</v>
      </c>
    </row>
    <row r="28" spans="1:18" ht="13.8">
      <c r="A28" s="15"/>
      <c r="B28" s="110"/>
      <c r="C28" s="120"/>
      <c r="D28" s="111"/>
      <c r="E28" s="104">
        <f t="shared" si="5"/>
        <v>4.1666666666666664E-2</v>
      </c>
      <c r="F28" s="105" t="str">
        <f t="shared" si="6"/>
        <v/>
      </c>
      <c r="G28" s="106" t="str">
        <f t="shared" si="2"/>
        <v/>
      </c>
      <c r="H28" s="106" t="str">
        <f t="shared" si="3"/>
        <v/>
      </c>
      <c r="I28" s="106" t="str">
        <f t="shared" si="7"/>
        <v/>
      </c>
      <c r="J28" s="12">
        <v>4.1666666666666664E-2</v>
      </c>
      <c r="K28" s="116"/>
      <c r="L28" s="108" t="s">
        <v>44</v>
      </c>
      <c r="N28" s="108" t="s">
        <v>44</v>
      </c>
      <c r="P28" s="108" t="s">
        <v>44</v>
      </c>
      <c r="R28" s="108" t="s">
        <v>44</v>
      </c>
    </row>
    <row r="29" spans="1:18" ht="13.8">
      <c r="A29" s="15"/>
      <c r="B29" s="125"/>
      <c r="C29" s="110"/>
      <c r="D29" s="111"/>
      <c r="E29" s="104">
        <f t="shared" si="5"/>
        <v>4.1666666666666664E-2</v>
      </c>
      <c r="F29" s="105" t="str">
        <f t="shared" si="6"/>
        <v/>
      </c>
      <c r="G29" s="106" t="str">
        <f t="shared" si="2"/>
        <v/>
      </c>
      <c r="H29" s="106" t="str">
        <f t="shared" si="3"/>
        <v/>
      </c>
      <c r="I29" s="106" t="str">
        <f t="shared" si="7"/>
        <v/>
      </c>
      <c r="J29" s="12">
        <v>4.1666666666666664E-2</v>
      </c>
      <c r="K29" s="116"/>
      <c r="L29" s="108" t="s">
        <v>44</v>
      </c>
      <c r="N29" s="108" t="s">
        <v>44</v>
      </c>
      <c r="P29" s="108" t="s">
        <v>44</v>
      </c>
      <c r="R29" s="108" t="s">
        <v>44</v>
      </c>
    </row>
    <row r="30" spans="1:18" ht="13.8">
      <c r="A30" s="15"/>
      <c r="B30" s="110"/>
      <c r="C30" s="110"/>
      <c r="D30" s="111"/>
      <c r="E30" s="104">
        <f t="shared" si="5"/>
        <v>4.1666666666666664E-2</v>
      </c>
      <c r="F30" s="105" t="str">
        <f t="shared" si="6"/>
        <v/>
      </c>
      <c r="G30" s="106" t="str">
        <f t="shared" si="2"/>
        <v/>
      </c>
      <c r="H30" s="106" t="str">
        <f t="shared" si="3"/>
        <v/>
      </c>
      <c r="I30" s="106" t="str">
        <f t="shared" si="7"/>
        <v/>
      </c>
      <c r="J30" s="12">
        <v>4.1666666666666664E-2</v>
      </c>
      <c r="K30" s="116"/>
      <c r="L30" s="108" t="s">
        <v>44</v>
      </c>
      <c r="N30" s="108" t="s">
        <v>44</v>
      </c>
      <c r="P30" s="108" t="s">
        <v>44</v>
      </c>
      <c r="R30" s="108" t="s">
        <v>44</v>
      </c>
    </row>
    <row r="31" spans="1:18" ht="13.8">
      <c r="A31" s="15"/>
      <c r="B31" s="110"/>
      <c r="C31" s="110"/>
      <c r="D31" s="111"/>
      <c r="E31" s="104">
        <f t="shared" si="5"/>
        <v>4.1666666666666664E-2</v>
      </c>
      <c r="F31" s="105" t="str">
        <f t="shared" si="6"/>
        <v/>
      </c>
      <c r="G31" s="106" t="str">
        <f t="shared" si="2"/>
        <v/>
      </c>
      <c r="H31" s="106" t="str">
        <f t="shared" si="3"/>
        <v/>
      </c>
      <c r="I31" s="106" t="str">
        <f t="shared" si="7"/>
        <v/>
      </c>
      <c r="J31" s="12">
        <v>4.1666666666666664E-2</v>
      </c>
      <c r="K31" s="116"/>
      <c r="L31" s="108" t="s">
        <v>44</v>
      </c>
      <c r="N31" s="108" t="s">
        <v>44</v>
      </c>
      <c r="P31" s="108" t="s">
        <v>44</v>
      </c>
      <c r="R31" s="108" t="s">
        <v>44</v>
      </c>
    </row>
    <row r="32" spans="1:18" ht="13.8">
      <c r="A32" s="15"/>
      <c r="B32" s="110"/>
      <c r="C32" s="120"/>
      <c r="D32" s="111"/>
      <c r="E32" s="104">
        <f t="shared" si="5"/>
        <v>4.1666666666666664E-2</v>
      </c>
      <c r="F32" s="105" t="str">
        <f t="shared" si="6"/>
        <v/>
      </c>
      <c r="G32" s="106" t="str">
        <f t="shared" si="2"/>
        <v/>
      </c>
      <c r="H32" s="106" t="str">
        <f t="shared" si="3"/>
        <v/>
      </c>
      <c r="I32" s="106" t="str">
        <f t="shared" si="7"/>
        <v/>
      </c>
      <c r="J32" s="12">
        <v>4.1666666666666664E-2</v>
      </c>
      <c r="K32" s="116"/>
      <c r="L32" s="108" t="s">
        <v>44</v>
      </c>
      <c r="N32" s="108" t="s">
        <v>44</v>
      </c>
      <c r="P32" s="108" t="s">
        <v>44</v>
      </c>
      <c r="R32" s="108" t="s">
        <v>44</v>
      </c>
    </row>
    <row r="33" spans="1:18" ht="13.8">
      <c r="A33" s="15"/>
      <c r="B33" s="110"/>
      <c r="C33" s="110"/>
      <c r="D33" s="111"/>
      <c r="E33" s="104">
        <f t="shared" si="5"/>
        <v>4.1666666666666664E-2</v>
      </c>
      <c r="F33" s="105" t="str">
        <f t="shared" si="6"/>
        <v/>
      </c>
      <c r="G33" s="106" t="str">
        <f t="shared" si="2"/>
        <v/>
      </c>
      <c r="H33" s="106" t="str">
        <f t="shared" si="3"/>
        <v/>
      </c>
      <c r="I33" s="106" t="str">
        <f t="shared" si="7"/>
        <v/>
      </c>
      <c r="J33" s="12">
        <v>4.1666666666666664E-2</v>
      </c>
      <c r="K33" s="116"/>
      <c r="L33" s="108" t="s">
        <v>44</v>
      </c>
      <c r="N33" s="108" t="s">
        <v>44</v>
      </c>
      <c r="P33" s="108" t="s">
        <v>44</v>
      </c>
      <c r="R33" s="108" t="s">
        <v>44</v>
      </c>
    </row>
    <row r="34" spans="1:18" ht="13.8">
      <c r="A34" s="15"/>
      <c r="B34" s="110"/>
      <c r="C34" s="110"/>
      <c r="D34" s="111"/>
      <c r="E34" s="104">
        <f t="shared" si="5"/>
        <v>4.1666666666666664E-2</v>
      </c>
      <c r="F34" s="105" t="str">
        <f t="shared" si="6"/>
        <v/>
      </c>
      <c r="G34" s="106" t="str">
        <f t="shared" si="2"/>
        <v/>
      </c>
      <c r="H34" s="106" t="str">
        <f t="shared" si="3"/>
        <v/>
      </c>
      <c r="I34" s="106" t="str">
        <f t="shared" si="7"/>
        <v/>
      </c>
      <c r="J34" s="12">
        <v>4.1666666666666664E-2</v>
      </c>
      <c r="K34" s="116"/>
      <c r="L34" s="108" t="s">
        <v>44</v>
      </c>
      <c r="N34" s="108" t="s">
        <v>44</v>
      </c>
      <c r="P34" s="108" t="s">
        <v>44</v>
      </c>
      <c r="R34" s="108" t="s">
        <v>44</v>
      </c>
    </row>
    <row r="35" spans="1:18" ht="13.8">
      <c r="A35" s="15"/>
      <c r="B35" s="110"/>
      <c r="C35" s="110"/>
      <c r="D35" s="111"/>
      <c r="E35" s="104">
        <f t="shared" si="5"/>
        <v>4.1666666666666664E-2</v>
      </c>
      <c r="F35" s="105" t="str">
        <f t="shared" si="6"/>
        <v/>
      </c>
      <c r="G35" s="106" t="str">
        <f t="shared" si="2"/>
        <v/>
      </c>
      <c r="H35" s="106" t="str">
        <f t="shared" si="3"/>
        <v/>
      </c>
      <c r="I35" s="106" t="str">
        <f t="shared" si="7"/>
        <v/>
      </c>
      <c r="J35" s="12">
        <v>4.1666666666666664E-2</v>
      </c>
      <c r="K35" s="116"/>
      <c r="L35" s="108" t="s">
        <v>44</v>
      </c>
      <c r="N35" s="108" t="s">
        <v>44</v>
      </c>
      <c r="P35" s="108" t="s">
        <v>44</v>
      </c>
      <c r="R35" s="108" t="s">
        <v>44</v>
      </c>
    </row>
    <row r="36" spans="1:18" ht="13.8">
      <c r="A36" s="15"/>
      <c r="B36" s="110"/>
      <c r="C36" s="110"/>
      <c r="D36" s="111"/>
      <c r="E36" s="104">
        <f t="shared" si="5"/>
        <v>4.1666666666666664E-2</v>
      </c>
      <c r="F36" s="105" t="str">
        <f t="shared" si="6"/>
        <v/>
      </c>
      <c r="G36" s="106" t="str">
        <f t="shared" si="2"/>
        <v/>
      </c>
      <c r="H36" s="106" t="str">
        <f t="shared" si="3"/>
        <v/>
      </c>
      <c r="I36" s="106" t="str">
        <f t="shared" si="7"/>
        <v/>
      </c>
      <c r="J36" s="12">
        <v>4.1666666666666664E-2</v>
      </c>
      <c r="K36" s="116"/>
      <c r="L36" s="108" t="s">
        <v>44</v>
      </c>
      <c r="N36" s="108" t="s">
        <v>44</v>
      </c>
      <c r="P36" s="108" t="s">
        <v>44</v>
      </c>
      <c r="R36" s="108" t="s">
        <v>44</v>
      </c>
    </row>
    <row r="37" spans="1:18" ht="13.8">
      <c r="A37" s="15"/>
      <c r="B37" s="110"/>
      <c r="C37" s="110"/>
      <c r="D37" s="111"/>
      <c r="E37" s="104">
        <f t="shared" si="5"/>
        <v>4.1666666666666664E-2</v>
      </c>
      <c r="F37" s="105" t="str">
        <f t="shared" si="6"/>
        <v/>
      </c>
      <c r="G37" s="106" t="str">
        <f t="shared" si="2"/>
        <v/>
      </c>
      <c r="H37" s="106" t="str">
        <f t="shared" si="3"/>
        <v/>
      </c>
      <c r="I37" s="106" t="str">
        <f t="shared" si="7"/>
        <v/>
      </c>
      <c r="J37" s="12">
        <v>4.1666666666666664E-2</v>
      </c>
      <c r="K37" s="116"/>
      <c r="L37" s="108" t="s">
        <v>44</v>
      </c>
      <c r="N37" s="108" t="s">
        <v>44</v>
      </c>
      <c r="P37" s="108" t="s">
        <v>44</v>
      </c>
      <c r="R37" s="108" t="s">
        <v>44</v>
      </c>
    </row>
    <row r="38" spans="1:18" ht="13.8">
      <c r="A38" s="15"/>
      <c r="B38" s="120"/>
      <c r="C38" s="120"/>
      <c r="D38" s="128"/>
      <c r="E38" s="104">
        <f t="shared" si="5"/>
        <v>4.1666666666666664E-2</v>
      </c>
      <c r="F38" s="105" t="str">
        <f t="shared" si="6"/>
        <v/>
      </c>
      <c r="G38" s="106" t="str">
        <f t="shared" si="2"/>
        <v/>
      </c>
      <c r="H38" s="106" t="str">
        <f t="shared" si="3"/>
        <v/>
      </c>
      <c r="I38" s="106" t="str">
        <f t="shared" si="7"/>
        <v/>
      </c>
      <c r="J38" s="12">
        <v>4.1666666666666664E-2</v>
      </c>
      <c r="K38" s="116"/>
      <c r="L38" s="108" t="s">
        <v>44</v>
      </c>
      <c r="N38" s="108" t="s">
        <v>44</v>
      </c>
      <c r="P38" s="108" t="s">
        <v>44</v>
      </c>
      <c r="R38" s="108" t="s">
        <v>44</v>
      </c>
    </row>
    <row r="39" spans="1:18" ht="13.8">
      <c r="A39" s="15"/>
      <c r="B39" s="110"/>
      <c r="C39" s="110"/>
      <c r="D39" s="111"/>
      <c r="E39" s="104">
        <f t="shared" si="5"/>
        <v>4.1666666666666664E-2</v>
      </c>
      <c r="F39" s="105" t="str">
        <f t="shared" si="6"/>
        <v/>
      </c>
      <c r="G39" s="106" t="str">
        <f t="shared" si="2"/>
        <v/>
      </c>
      <c r="H39" s="106" t="str">
        <f t="shared" si="3"/>
        <v/>
      </c>
      <c r="I39" s="106" t="str">
        <f t="shared" si="7"/>
        <v/>
      </c>
      <c r="J39" s="12">
        <v>4.1666666666666664E-2</v>
      </c>
      <c r="K39" s="116"/>
      <c r="L39" s="108" t="s">
        <v>44</v>
      </c>
      <c r="N39" s="108" t="s">
        <v>44</v>
      </c>
      <c r="P39" s="108" t="s">
        <v>44</v>
      </c>
      <c r="R39" s="108" t="s">
        <v>44</v>
      </c>
    </row>
    <row r="40" spans="1:18" ht="13.8">
      <c r="A40" s="15"/>
      <c r="B40" s="110"/>
      <c r="C40" s="120"/>
      <c r="D40" s="111"/>
      <c r="E40" s="104">
        <f t="shared" si="5"/>
        <v>4.1666666666666664E-2</v>
      </c>
      <c r="F40" s="105" t="str">
        <f t="shared" si="6"/>
        <v/>
      </c>
      <c r="G40" s="106" t="str">
        <f t="shared" si="2"/>
        <v/>
      </c>
      <c r="H40" s="106" t="str">
        <f t="shared" si="3"/>
        <v/>
      </c>
      <c r="I40" s="106" t="str">
        <f t="shared" si="7"/>
        <v/>
      </c>
      <c r="J40" s="12">
        <v>4.1666666666666664E-2</v>
      </c>
      <c r="K40" s="116"/>
      <c r="L40" s="108" t="s">
        <v>44</v>
      </c>
      <c r="N40" s="108" t="s">
        <v>44</v>
      </c>
      <c r="P40" s="108" t="s">
        <v>44</v>
      </c>
      <c r="R40" s="108" t="s">
        <v>44</v>
      </c>
    </row>
    <row r="41" spans="1:18" ht="13.8">
      <c r="A41" s="15"/>
      <c r="B41" s="110"/>
      <c r="C41" s="110"/>
      <c r="D41" s="111"/>
      <c r="E41" s="104">
        <f t="shared" si="5"/>
        <v>4.1666666666666664E-2</v>
      </c>
      <c r="F41" s="105" t="str">
        <f t="shared" si="6"/>
        <v/>
      </c>
      <c r="G41" s="106" t="str">
        <f t="shared" si="2"/>
        <v/>
      </c>
      <c r="H41" s="106" t="str">
        <f t="shared" si="3"/>
        <v/>
      </c>
      <c r="I41" s="106" t="str">
        <f t="shared" si="7"/>
        <v/>
      </c>
      <c r="J41" s="12">
        <v>4.1666666666666664E-2</v>
      </c>
      <c r="K41" s="116"/>
      <c r="L41" s="108" t="s">
        <v>44</v>
      </c>
      <c r="N41" s="108" t="s">
        <v>44</v>
      </c>
      <c r="P41" s="108" t="s">
        <v>44</v>
      </c>
      <c r="R41" s="108" t="s">
        <v>44</v>
      </c>
    </row>
    <row r="42" spans="1:18" ht="13.8">
      <c r="A42" s="15"/>
      <c r="B42" s="110"/>
      <c r="C42" s="120"/>
      <c r="D42" s="111"/>
      <c r="E42" s="104">
        <f t="shared" si="5"/>
        <v>4.1666666666666664E-2</v>
      </c>
      <c r="F42" s="105" t="str">
        <f t="shared" si="6"/>
        <v/>
      </c>
      <c r="G42" s="106" t="str">
        <f t="shared" si="2"/>
        <v/>
      </c>
      <c r="H42" s="106" t="str">
        <f t="shared" si="3"/>
        <v/>
      </c>
      <c r="I42" s="106" t="str">
        <f t="shared" si="7"/>
        <v/>
      </c>
      <c r="J42" s="12">
        <v>4.1666666666666664E-2</v>
      </c>
      <c r="K42" s="116"/>
      <c r="L42" s="108" t="s">
        <v>44</v>
      </c>
      <c r="N42" s="108" t="s">
        <v>44</v>
      </c>
      <c r="P42" s="108" t="s">
        <v>44</v>
      </c>
      <c r="R42" s="108" t="s">
        <v>44</v>
      </c>
    </row>
    <row r="43" spans="1:18" ht="13.8">
      <c r="A43" s="15"/>
      <c r="B43" s="110"/>
      <c r="C43" s="110"/>
      <c r="D43" s="111"/>
      <c r="E43" s="104">
        <f t="shared" si="5"/>
        <v>4.1666666666666664E-2</v>
      </c>
      <c r="F43" s="105" t="str">
        <f t="shared" si="6"/>
        <v/>
      </c>
      <c r="G43" s="106" t="str">
        <f t="shared" si="2"/>
        <v/>
      </c>
      <c r="H43" s="106" t="str">
        <f t="shared" si="3"/>
        <v/>
      </c>
      <c r="I43" s="106" t="str">
        <f t="shared" si="7"/>
        <v/>
      </c>
      <c r="J43" s="12">
        <v>4.1666666666666664E-2</v>
      </c>
      <c r="K43" s="116"/>
      <c r="L43" s="108" t="s">
        <v>44</v>
      </c>
      <c r="N43" s="108" t="s">
        <v>44</v>
      </c>
      <c r="P43" s="108" t="s">
        <v>44</v>
      </c>
      <c r="R43" s="108" t="s">
        <v>44</v>
      </c>
    </row>
    <row r="44" spans="1:18" ht="13.8">
      <c r="A44" s="34"/>
      <c r="B44" s="110"/>
      <c r="C44" s="110"/>
      <c r="D44" s="111"/>
      <c r="E44" s="104">
        <f t="shared" si="5"/>
        <v>4.1666666666666664E-2</v>
      </c>
      <c r="F44" s="105" t="str">
        <f t="shared" si="6"/>
        <v/>
      </c>
      <c r="G44" s="106" t="str">
        <f t="shared" si="2"/>
        <v/>
      </c>
      <c r="H44" s="106" t="str">
        <f t="shared" si="3"/>
        <v/>
      </c>
      <c r="I44" s="106" t="str">
        <f t="shared" si="7"/>
        <v/>
      </c>
      <c r="J44" s="12">
        <v>4.1666666666666664E-2</v>
      </c>
      <c r="K44" s="116"/>
      <c r="L44" s="108" t="s">
        <v>44</v>
      </c>
      <c r="N44" s="108" t="s">
        <v>44</v>
      </c>
      <c r="P44" s="108" t="s">
        <v>44</v>
      </c>
      <c r="R44" s="108" t="s">
        <v>44</v>
      </c>
    </row>
    <row r="45" spans="1:18" ht="13.8">
      <c r="A45" s="15"/>
      <c r="B45" s="110"/>
      <c r="C45" s="110"/>
      <c r="D45" s="111"/>
      <c r="E45" s="104">
        <f t="shared" si="5"/>
        <v>4.1666666666666664E-2</v>
      </c>
      <c r="F45" s="105" t="str">
        <f t="shared" si="6"/>
        <v/>
      </c>
      <c r="G45" s="106" t="str">
        <f t="shared" si="2"/>
        <v/>
      </c>
      <c r="H45" s="106" t="str">
        <f t="shared" si="3"/>
        <v/>
      </c>
      <c r="I45" s="106" t="str">
        <f t="shared" si="7"/>
        <v/>
      </c>
      <c r="J45" s="12">
        <v>4.1666666666666664E-2</v>
      </c>
      <c r="K45" s="116"/>
      <c r="L45" s="108" t="s">
        <v>44</v>
      </c>
      <c r="N45" s="108" t="s">
        <v>44</v>
      </c>
      <c r="P45" s="108" t="s">
        <v>44</v>
      </c>
      <c r="R45" s="108" t="s">
        <v>44</v>
      </c>
    </row>
    <row r="46" spans="1:18" ht="13.8">
      <c r="A46" s="15"/>
      <c r="B46" s="110"/>
      <c r="C46" s="110"/>
      <c r="D46" s="111"/>
      <c r="E46" s="104">
        <f t="shared" si="5"/>
        <v>4.1666666666666664E-2</v>
      </c>
      <c r="F46" s="105" t="str">
        <f t="shared" si="6"/>
        <v/>
      </c>
      <c r="G46" s="106" t="str">
        <f t="shared" si="2"/>
        <v/>
      </c>
      <c r="H46" s="106" t="str">
        <f t="shared" si="3"/>
        <v/>
      </c>
      <c r="I46" s="106" t="str">
        <f t="shared" si="7"/>
        <v/>
      </c>
      <c r="J46" s="12">
        <v>4.1666666666666664E-2</v>
      </c>
      <c r="K46" s="116"/>
      <c r="L46" s="108" t="s">
        <v>44</v>
      </c>
      <c r="N46" s="108" t="s">
        <v>44</v>
      </c>
      <c r="P46" s="108" t="s">
        <v>44</v>
      </c>
      <c r="R46" s="108" t="s">
        <v>44</v>
      </c>
    </row>
    <row r="47" spans="1:18" ht="13.8">
      <c r="A47" s="15"/>
      <c r="B47" s="110"/>
      <c r="C47" s="110"/>
      <c r="D47" s="111"/>
      <c r="E47" s="104">
        <f t="shared" si="5"/>
        <v>4.1666666666666664E-2</v>
      </c>
      <c r="F47" s="105" t="str">
        <f t="shared" si="6"/>
        <v/>
      </c>
      <c r="G47" s="106" t="str">
        <f t="shared" si="2"/>
        <v/>
      </c>
      <c r="H47" s="106" t="str">
        <f t="shared" si="3"/>
        <v/>
      </c>
      <c r="I47" s="106" t="str">
        <f t="shared" si="7"/>
        <v/>
      </c>
      <c r="J47" s="12">
        <v>4.1666666666666664E-2</v>
      </c>
      <c r="K47" s="116"/>
      <c r="L47" s="108" t="s">
        <v>44</v>
      </c>
      <c r="N47" s="108" t="s">
        <v>44</v>
      </c>
      <c r="P47" s="108" t="s">
        <v>44</v>
      </c>
      <c r="R47" s="108" t="s">
        <v>44</v>
      </c>
    </row>
    <row r="48" spans="1:18" ht="13.8">
      <c r="A48" s="15"/>
      <c r="B48" s="110"/>
      <c r="C48" s="110"/>
      <c r="D48" s="111"/>
      <c r="E48" s="104">
        <f t="shared" si="5"/>
        <v>4.1666666666666664E-2</v>
      </c>
      <c r="F48" s="105" t="str">
        <f t="shared" si="6"/>
        <v/>
      </c>
      <c r="G48" s="106" t="str">
        <f t="shared" si="2"/>
        <v/>
      </c>
      <c r="H48" s="106" t="str">
        <f t="shared" si="3"/>
        <v/>
      </c>
      <c r="I48" s="106" t="str">
        <f t="shared" si="7"/>
        <v/>
      </c>
      <c r="J48" s="12">
        <v>4.1666666666666664E-2</v>
      </c>
      <c r="K48" s="116"/>
      <c r="L48" s="108" t="s">
        <v>44</v>
      </c>
      <c r="N48" s="108" t="s">
        <v>44</v>
      </c>
      <c r="P48" s="108" t="s">
        <v>44</v>
      </c>
      <c r="R48" s="108" t="s">
        <v>44</v>
      </c>
    </row>
    <row r="49" spans="1:18" ht="13.8">
      <c r="A49" s="15"/>
      <c r="B49" s="110"/>
      <c r="C49" s="110"/>
      <c r="D49" s="111"/>
      <c r="E49" s="104">
        <f t="shared" si="5"/>
        <v>4.1666666666666664E-2</v>
      </c>
      <c r="F49" s="105" t="str">
        <f t="shared" si="6"/>
        <v/>
      </c>
      <c r="G49" s="106" t="str">
        <f t="shared" si="2"/>
        <v/>
      </c>
      <c r="H49" s="106" t="str">
        <f t="shared" si="3"/>
        <v/>
      </c>
      <c r="I49" s="106" t="str">
        <f t="shared" si="7"/>
        <v/>
      </c>
      <c r="J49" s="12">
        <v>4.1666666666666664E-2</v>
      </c>
      <c r="K49" s="116"/>
      <c r="L49" s="108" t="s">
        <v>44</v>
      </c>
      <c r="N49" s="108" t="s">
        <v>44</v>
      </c>
      <c r="P49" s="108" t="s">
        <v>44</v>
      </c>
      <c r="R49" s="108" t="s">
        <v>44</v>
      </c>
    </row>
    <row r="50" spans="1:18" ht="13.8">
      <c r="A50" s="15"/>
      <c r="B50" s="130"/>
      <c r="C50" s="120"/>
      <c r="D50" s="128"/>
      <c r="E50" s="104">
        <f t="shared" si="5"/>
        <v>4.1666666666666664E-2</v>
      </c>
      <c r="F50" s="105" t="str">
        <f t="shared" si="6"/>
        <v/>
      </c>
      <c r="G50" s="106" t="str">
        <f t="shared" si="2"/>
        <v/>
      </c>
      <c r="H50" s="106" t="str">
        <f t="shared" si="3"/>
        <v/>
      </c>
      <c r="I50" s="106" t="str">
        <f t="shared" si="7"/>
        <v/>
      </c>
      <c r="J50" s="12">
        <v>4.1666666666666664E-2</v>
      </c>
      <c r="K50" s="116"/>
      <c r="L50" s="108" t="s">
        <v>44</v>
      </c>
      <c r="N50" s="108" t="s">
        <v>44</v>
      </c>
      <c r="P50" s="108" t="s">
        <v>44</v>
      </c>
      <c r="R50" s="108" t="s">
        <v>44</v>
      </c>
    </row>
    <row r="51" spans="1:18" ht="13.8">
      <c r="A51" s="15"/>
      <c r="B51" s="110"/>
      <c r="C51" s="110"/>
      <c r="D51" s="111"/>
      <c r="E51" s="104">
        <f t="shared" si="5"/>
        <v>4.1666666666666664E-2</v>
      </c>
      <c r="F51" s="105" t="str">
        <f t="shared" si="6"/>
        <v/>
      </c>
      <c r="G51" s="106" t="str">
        <f t="shared" si="2"/>
        <v/>
      </c>
      <c r="H51" s="106" t="str">
        <f t="shared" si="3"/>
        <v/>
      </c>
      <c r="I51" s="106" t="str">
        <f t="shared" si="7"/>
        <v/>
      </c>
      <c r="J51" s="12">
        <v>4.1666666666666664E-2</v>
      </c>
      <c r="K51" s="116"/>
      <c r="L51" s="108" t="s">
        <v>44</v>
      </c>
      <c r="N51" s="108" t="s">
        <v>44</v>
      </c>
      <c r="P51" s="108" t="s">
        <v>44</v>
      </c>
      <c r="R51" s="108" t="s">
        <v>44</v>
      </c>
    </row>
    <row r="52" spans="1:18" ht="13.8">
      <c r="A52" s="34"/>
      <c r="B52" s="110"/>
      <c r="C52" s="110"/>
      <c r="D52" s="111"/>
      <c r="E52" s="104">
        <f t="shared" si="5"/>
        <v>4.1666666666666664E-2</v>
      </c>
      <c r="F52" s="105" t="str">
        <f t="shared" si="6"/>
        <v/>
      </c>
      <c r="G52" s="106" t="str">
        <f t="shared" si="2"/>
        <v/>
      </c>
      <c r="H52" s="106" t="str">
        <f t="shared" si="3"/>
        <v/>
      </c>
      <c r="I52" s="106" t="str">
        <f t="shared" si="7"/>
        <v/>
      </c>
      <c r="J52" s="12">
        <v>4.1666666666666664E-2</v>
      </c>
      <c r="K52" s="116"/>
      <c r="L52" s="108" t="s">
        <v>44</v>
      </c>
      <c r="N52" s="108" t="s">
        <v>44</v>
      </c>
      <c r="P52" s="108" t="s">
        <v>44</v>
      </c>
      <c r="R52" s="108" t="s">
        <v>44</v>
      </c>
    </row>
    <row r="53" spans="1:18" ht="13.8">
      <c r="A53" s="34"/>
      <c r="B53" s="110"/>
      <c r="C53" s="110"/>
      <c r="D53" s="111"/>
      <c r="E53" s="104">
        <f t="shared" si="5"/>
        <v>4.1666666666666664E-2</v>
      </c>
      <c r="F53" s="105" t="str">
        <f t="shared" si="6"/>
        <v/>
      </c>
      <c r="G53" s="106" t="str">
        <f t="shared" si="2"/>
        <v/>
      </c>
      <c r="H53" s="106" t="str">
        <f t="shared" si="3"/>
        <v/>
      </c>
      <c r="I53" s="106" t="str">
        <f t="shared" si="7"/>
        <v/>
      </c>
      <c r="J53" s="12">
        <v>4.1666666666666664E-2</v>
      </c>
      <c r="K53" s="116"/>
      <c r="L53" s="108" t="s">
        <v>44</v>
      </c>
      <c r="N53" s="108" t="s">
        <v>44</v>
      </c>
      <c r="P53" s="108" t="s">
        <v>44</v>
      </c>
      <c r="R53" s="108" t="s">
        <v>44</v>
      </c>
    </row>
    <row r="54" spans="1:18" ht="13.8">
      <c r="A54" s="15"/>
      <c r="B54" s="110"/>
      <c r="C54" s="120"/>
      <c r="D54" s="111"/>
      <c r="E54" s="104">
        <f t="shared" si="5"/>
        <v>4.1666666666666664E-2</v>
      </c>
      <c r="F54" s="105" t="str">
        <f t="shared" si="6"/>
        <v/>
      </c>
      <c r="G54" s="106" t="str">
        <f t="shared" si="2"/>
        <v/>
      </c>
      <c r="H54" s="106" t="str">
        <f t="shared" si="3"/>
        <v/>
      </c>
      <c r="I54" s="106" t="str">
        <f t="shared" si="7"/>
        <v/>
      </c>
      <c r="J54" s="12">
        <v>4.1666666666666664E-2</v>
      </c>
      <c r="K54" s="116"/>
      <c r="L54" s="108" t="s">
        <v>44</v>
      </c>
      <c r="N54" s="108" t="s">
        <v>44</v>
      </c>
      <c r="P54" s="108" t="s">
        <v>44</v>
      </c>
      <c r="R54" s="108" t="s">
        <v>44</v>
      </c>
    </row>
    <row r="55" spans="1:18" ht="13.8">
      <c r="A55" s="15"/>
      <c r="B55" s="110"/>
      <c r="C55" s="110"/>
      <c r="D55" s="111"/>
      <c r="E55" s="104">
        <f t="shared" si="5"/>
        <v>4.1666666666666664E-2</v>
      </c>
      <c r="F55" s="105" t="str">
        <f t="shared" si="6"/>
        <v/>
      </c>
      <c r="G55" s="106" t="str">
        <f t="shared" si="2"/>
        <v/>
      </c>
      <c r="H55" s="106" t="str">
        <f t="shared" si="3"/>
        <v/>
      </c>
      <c r="I55" s="106" t="str">
        <f t="shared" si="7"/>
        <v/>
      </c>
      <c r="J55" s="12">
        <v>4.1666666666666664E-2</v>
      </c>
      <c r="K55" s="116"/>
      <c r="L55" s="108" t="s">
        <v>44</v>
      </c>
      <c r="N55" s="108" t="s">
        <v>44</v>
      </c>
      <c r="P55" s="108" t="s">
        <v>44</v>
      </c>
      <c r="R55" s="108" t="s">
        <v>44</v>
      </c>
    </row>
    <row r="56" spans="1:18" ht="13.8">
      <c r="A56" s="15"/>
      <c r="B56" s="120"/>
      <c r="C56" s="120"/>
      <c r="D56" s="128"/>
      <c r="E56" s="104">
        <f t="shared" si="5"/>
        <v>4.1666666666666664E-2</v>
      </c>
      <c r="F56" s="105" t="str">
        <f t="shared" si="6"/>
        <v/>
      </c>
      <c r="G56" s="106" t="str">
        <f t="shared" si="2"/>
        <v/>
      </c>
      <c r="H56" s="106" t="str">
        <f t="shared" si="3"/>
        <v/>
      </c>
      <c r="I56" s="106" t="str">
        <f t="shared" si="7"/>
        <v/>
      </c>
      <c r="J56" s="12">
        <v>4.1666666666666664E-2</v>
      </c>
      <c r="K56" s="116"/>
      <c r="L56" s="108" t="s">
        <v>44</v>
      </c>
      <c r="N56" s="108" t="s">
        <v>44</v>
      </c>
      <c r="P56" s="108" t="s">
        <v>44</v>
      </c>
      <c r="R56" s="108" t="s">
        <v>44</v>
      </c>
    </row>
    <row r="57" spans="1:18" ht="13.8">
      <c r="A57" s="34"/>
      <c r="B57" s="110"/>
      <c r="C57" s="110"/>
      <c r="D57" s="128"/>
      <c r="E57" s="104">
        <f t="shared" si="5"/>
        <v>4.1666666666666664E-2</v>
      </c>
      <c r="F57" s="105" t="str">
        <f t="shared" si="6"/>
        <v/>
      </c>
      <c r="G57" s="106" t="str">
        <f t="shared" si="2"/>
        <v/>
      </c>
      <c r="H57" s="106" t="str">
        <f t="shared" si="3"/>
        <v/>
      </c>
      <c r="I57" s="106" t="str">
        <f t="shared" si="7"/>
        <v/>
      </c>
      <c r="J57" s="12">
        <v>4.1666666666666664E-2</v>
      </c>
      <c r="K57" s="116"/>
      <c r="L57" s="108" t="s">
        <v>44</v>
      </c>
      <c r="N57" s="108" t="s">
        <v>44</v>
      </c>
      <c r="P57" s="108" t="s">
        <v>44</v>
      </c>
      <c r="R57" s="108" t="s">
        <v>44</v>
      </c>
    </row>
    <row r="58" spans="1:18" ht="13.8">
      <c r="A58" s="34"/>
      <c r="B58" s="110"/>
      <c r="C58" s="110"/>
      <c r="D58" s="128"/>
      <c r="E58" s="104">
        <f t="shared" si="5"/>
        <v>4.1666666666666664E-2</v>
      </c>
      <c r="F58" s="105" t="str">
        <f t="shared" si="6"/>
        <v/>
      </c>
      <c r="G58" s="106" t="str">
        <f t="shared" si="2"/>
        <v/>
      </c>
      <c r="H58" s="106" t="str">
        <f t="shared" si="3"/>
        <v/>
      </c>
      <c r="I58" s="106" t="str">
        <f t="shared" si="7"/>
        <v/>
      </c>
      <c r="J58" s="12">
        <v>4.1666666666666664E-2</v>
      </c>
      <c r="K58" s="116"/>
      <c r="L58" s="108" t="s">
        <v>44</v>
      </c>
      <c r="N58" s="108" t="s">
        <v>44</v>
      </c>
      <c r="P58" s="108" t="s">
        <v>44</v>
      </c>
      <c r="R58" s="108" t="s">
        <v>44</v>
      </c>
    </row>
    <row r="59" spans="1:18" ht="13.8">
      <c r="A59" s="15"/>
      <c r="B59" s="110"/>
      <c r="C59" s="120"/>
      <c r="D59" s="111"/>
      <c r="E59" s="104">
        <f t="shared" si="5"/>
        <v>4.1666666666666664E-2</v>
      </c>
      <c r="F59" s="105" t="str">
        <f t="shared" si="6"/>
        <v/>
      </c>
      <c r="G59" s="106" t="str">
        <f t="shared" si="2"/>
        <v/>
      </c>
      <c r="H59" s="106" t="str">
        <f t="shared" si="3"/>
        <v/>
      </c>
      <c r="I59" s="106" t="str">
        <f t="shared" si="7"/>
        <v/>
      </c>
      <c r="J59" s="12">
        <v>4.1666666666666664E-2</v>
      </c>
      <c r="K59" s="116"/>
      <c r="L59" s="108" t="s">
        <v>44</v>
      </c>
      <c r="N59" s="108" t="s">
        <v>44</v>
      </c>
      <c r="P59" s="108" t="s">
        <v>44</v>
      </c>
      <c r="R59" s="108" t="s">
        <v>44</v>
      </c>
    </row>
    <row r="60" spans="1:18" ht="13.8">
      <c r="A60" s="34"/>
      <c r="B60" s="110"/>
      <c r="C60" s="110"/>
      <c r="D60" s="111"/>
      <c r="E60" s="104">
        <f t="shared" si="5"/>
        <v>4.1666666666666664E-2</v>
      </c>
      <c r="F60" s="105" t="str">
        <f t="shared" si="6"/>
        <v/>
      </c>
      <c r="G60" s="106" t="str">
        <f t="shared" si="2"/>
        <v/>
      </c>
      <c r="H60" s="106" t="str">
        <f t="shared" si="3"/>
        <v/>
      </c>
      <c r="I60" s="106" t="str">
        <f t="shared" si="7"/>
        <v/>
      </c>
      <c r="J60" s="12">
        <v>4.1666666666666664E-2</v>
      </c>
      <c r="K60" s="116"/>
      <c r="L60" s="108" t="s">
        <v>44</v>
      </c>
      <c r="N60" s="108" t="s">
        <v>44</v>
      </c>
      <c r="P60" s="108" t="s">
        <v>44</v>
      </c>
      <c r="R60" s="108" t="s">
        <v>44</v>
      </c>
    </row>
    <row r="61" spans="1:18" ht="13.8">
      <c r="A61" s="15"/>
      <c r="B61" s="120"/>
      <c r="C61" s="120"/>
      <c r="D61" s="128"/>
      <c r="E61" s="104">
        <f t="shared" si="5"/>
        <v>4.1666666666666664E-2</v>
      </c>
      <c r="F61" s="105" t="str">
        <f t="shared" si="6"/>
        <v/>
      </c>
      <c r="G61" s="106" t="str">
        <f t="shared" si="2"/>
        <v/>
      </c>
      <c r="H61" s="106" t="str">
        <f t="shared" si="3"/>
        <v/>
      </c>
      <c r="I61" s="106" t="str">
        <f t="shared" si="7"/>
        <v/>
      </c>
      <c r="J61" s="12">
        <v>4.1666666666666664E-2</v>
      </c>
      <c r="K61" s="116"/>
      <c r="L61" s="108" t="s">
        <v>44</v>
      </c>
      <c r="N61" s="108" t="s">
        <v>44</v>
      </c>
      <c r="P61" s="108" t="s">
        <v>44</v>
      </c>
      <c r="R61" s="108" t="s">
        <v>44</v>
      </c>
    </row>
    <row r="62" spans="1:18" ht="13.8">
      <c r="A62" s="34"/>
      <c r="B62" s="110"/>
      <c r="C62" s="110"/>
      <c r="D62" s="128"/>
      <c r="E62" s="104">
        <f t="shared" si="5"/>
        <v>4.1666666666666664E-2</v>
      </c>
      <c r="F62" s="105" t="str">
        <f t="shared" si="6"/>
        <v/>
      </c>
      <c r="G62" s="106" t="str">
        <f t="shared" si="2"/>
        <v/>
      </c>
      <c r="H62" s="106" t="str">
        <f t="shared" si="3"/>
        <v/>
      </c>
      <c r="I62" s="106" t="str">
        <f t="shared" si="7"/>
        <v/>
      </c>
      <c r="J62" s="12">
        <v>4.1666666666666664E-2</v>
      </c>
      <c r="K62" s="116"/>
      <c r="L62" s="108" t="s">
        <v>44</v>
      </c>
      <c r="N62" s="108" t="s">
        <v>44</v>
      </c>
      <c r="P62" s="108" t="s">
        <v>44</v>
      </c>
      <c r="R62" s="108" t="s">
        <v>44</v>
      </c>
    </row>
    <row r="63" spans="1:18" ht="13.8">
      <c r="A63" s="34"/>
      <c r="B63" s="110"/>
      <c r="C63" s="110"/>
      <c r="D63" s="111"/>
      <c r="E63" s="104">
        <f t="shared" si="5"/>
        <v>4.1666666666666664E-2</v>
      </c>
      <c r="F63" s="105" t="str">
        <f t="shared" si="6"/>
        <v/>
      </c>
      <c r="G63" s="106" t="str">
        <f t="shared" si="2"/>
        <v/>
      </c>
      <c r="H63" s="106" t="str">
        <f t="shared" si="3"/>
        <v/>
      </c>
      <c r="I63" s="106" t="str">
        <f t="shared" si="7"/>
        <v/>
      </c>
      <c r="J63" s="12">
        <v>4.1666666666666664E-2</v>
      </c>
      <c r="K63" s="116"/>
      <c r="L63" s="108" t="s">
        <v>44</v>
      </c>
      <c r="N63" s="108" t="s">
        <v>44</v>
      </c>
      <c r="P63" s="108" t="s">
        <v>44</v>
      </c>
      <c r="R63" s="108" t="s">
        <v>44</v>
      </c>
    </row>
    <row r="64" spans="1:18" ht="13.8">
      <c r="A64" s="34"/>
      <c r="B64" s="110"/>
      <c r="C64" s="110"/>
      <c r="D64" s="128"/>
      <c r="E64" s="104">
        <f t="shared" si="5"/>
        <v>4.1666666666666664E-2</v>
      </c>
      <c r="F64" s="105" t="str">
        <f t="shared" si="6"/>
        <v/>
      </c>
      <c r="G64" s="106" t="str">
        <f t="shared" si="2"/>
        <v/>
      </c>
      <c r="H64" s="106" t="str">
        <f t="shared" si="3"/>
        <v/>
      </c>
      <c r="I64" s="106" t="str">
        <f t="shared" si="7"/>
        <v/>
      </c>
      <c r="J64" s="12">
        <v>4.1666666666666664E-2</v>
      </c>
      <c r="K64" s="116"/>
      <c r="L64" s="108" t="s">
        <v>44</v>
      </c>
      <c r="N64" s="108" t="s">
        <v>44</v>
      </c>
      <c r="P64" s="108" t="s">
        <v>44</v>
      </c>
      <c r="R64" s="108" t="s">
        <v>44</v>
      </c>
    </row>
    <row r="65" spans="1:18" ht="13.8">
      <c r="A65" s="34"/>
      <c r="B65" s="110"/>
      <c r="C65" s="110"/>
      <c r="D65" s="128"/>
      <c r="E65" s="104">
        <f t="shared" si="5"/>
        <v>4.1666666666666664E-2</v>
      </c>
      <c r="F65" s="105" t="str">
        <f t="shared" si="6"/>
        <v/>
      </c>
      <c r="G65" s="106" t="str">
        <f t="shared" si="2"/>
        <v/>
      </c>
      <c r="H65" s="106" t="str">
        <f t="shared" si="3"/>
        <v/>
      </c>
      <c r="I65" s="106" t="str">
        <f t="shared" si="7"/>
        <v/>
      </c>
      <c r="J65" s="12">
        <v>4.1666666666666664E-2</v>
      </c>
      <c r="K65" s="116"/>
      <c r="L65" s="108" t="s">
        <v>44</v>
      </c>
      <c r="N65" s="108" t="s">
        <v>44</v>
      </c>
      <c r="P65" s="108" t="s">
        <v>44</v>
      </c>
      <c r="R65" s="108" t="s">
        <v>44</v>
      </c>
    </row>
    <row r="66" spans="1:18" ht="13.8">
      <c r="A66" s="34"/>
      <c r="B66" s="110"/>
      <c r="C66" s="110"/>
      <c r="D66" s="128"/>
      <c r="E66" s="104">
        <f t="shared" si="5"/>
        <v>4.1666666666666664E-2</v>
      </c>
      <c r="F66" s="105" t="str">
        <f t="shared" si="6"/>
        <v/>
      </c>
      <c r="G66" s="106" t="str">
        <f t="shared" si="2"/>
        <v/>
      </c>
      <c r="H66" s="106" t="str">
        <f t="shared" si="3"/>
        <v/>
      </c>
      <c r="I66" s="106" t="str">
        <f t="shared" si="7"/>
        <v/>
      </c>
      <c r="J66" s="12">
        <v>4.1666666666666664E-2</v>
      </c>
      <c r="K66" s="116"/>
      <c r="L66" s="108" t="s">
        <v>44</v>
      </c>
      <c r="N66" s="108" t="s">
        <v>44</v>
      </c>
      <c r="P66" s="108" t="s">
        <v>44</v>
      </c>
      <c r="R66" s="108" t="s">
        <v>44</v>
      </c>
    </row>
    <row r="67" spans="1:18" ht="13.8">
      <c r="A67" s="34"/>
      <c r="B67" s="110"/>
      <c r="C67" s="110"/>
      <c r="D67" s="128"/>
      <c r="E67" s="104">
        <f t="shared" si="5"/>
        <v>4.1666666666666664E-2</v>
      </c>
      <c r="F67" s="105" t="str">
        <f t="shared" si="6"/>
        <v/>
      </c>
      <c r="G67" s="106" t="str">
        <f t="shared" si="2"/>
        <v/>
      </c>
      <c r="H67" s="106" t="str">
        <f t="shared" si="3"/>
        <v/>
      </c>
      <c r="I67" s="106" t="str">
        <f t="shared" si="7"/>
        <v/>
      </c>
      <c r="J67" s="12">
        <v>4.1666666666666664E-2</v>
      </c>
      <c r="K67" s="116"/>
      <c r="L67" s="108" t="s">
        <v>44</v>
      </c>
      <c r="N67" s="108" t="s">
        <v>44</v>
      </c>
      <c r="P67" s="108" t="s">
        <v>44</v>
      </c>
      <c r="R67" s="108" t="s">
        <v>44</v>
      </c>
    </row>
    <row r="68" spans="1:18" ht="13.8">
      <c r="A68" s="34"/>
      <c r="B68" s="110"/>
      <c r="C68" s="110"/>
      <c r="D68" s="128"/>
      <c r="E68" s="104">
        <f t="shared" si="5"/>
        <v>4.1666666666666664E-2</v>
      </c>
      <c r="F68" s="105" t="str">
        <f t="shared" si="6"/>
        <v/>
      </c>
      <c r="G68" s="106" t="str">
        <f t="shared" si="2"/>
        <v/>
      </c>
      <c r="H68" s="106" t="str">
        <f t="shared" si="3"/>
        <v/>
      </c>
      <c r="I68" s="106" t="str">
        <f t="shared" si="7"/>
        <v/>
      </c>
      <c r="J68" s="12">
        <v>4.1666666666666664E-2</v>
      </c>
      <c r="K68" s="116"/>
      <c r="L68" s="108" t="s">
        <v>44</v>
      </c>
      <c r="N68" s="108" t="s">
        <v>44</v>
      </c>
      <c r="P68" s="108" t="s">
        <v>44</v>
      </c>
      <c r="R68" s="108" t="s">
        <v>44</v>
      </c>
    </row>
    <row r="69" spans="1:18" ht="13.8">
      <c r="A69" s="34"/>
      <c r="B69" s="110"/>
      <c r="C69" s="110"/>
      <c r="D69" s="128"/>
      <c r="E69" s="104">
        <f t="shared" si="5"/>
        <v>4.1666666666666664E-2</v>
      </c>
      <c r="F69" s="105" t="str">
        <f t="shared" si="6"/>
        <v/>
      </c>
      <c r="G69" s="106" t="str">
        <f t="shared" si="2"/>
        <v/>
      </c>
      <c r="H69" s="106" t="str">
        <f t="shared" si="3"/>
        <v/>
      </c>
      <c r="I69" s="106" t="str">
        <f t="shared" si="7"/>
        <v/>
      </c>
      <c r="J69" s="12">
        <v>4.1666666666666664E-2</v>
      </c>
      <c r="K69" s="116"/>
      <c r="L69" s="108" t="s">
        <v>44</v>
      </c>
      <c r="N69" s="108" t="s">
        <v>44</v>
      </c>
      <c r="P69" s="108" t="s">
        <v>44</v>
      </c>
      <c r="R69" s="108" t="s">
        <v>44</v>
      </c>
    </row>
    <row r="70" spans="1:18" ht="13.8">
      <c r="A70" s="34"/>
      <c r="B70" s="110"/>
      <c r="C70" s="110"/>
      <c r="D70" s="128"/>
      <c r="E70" s="104">
        <f t="shared" si="5"/>
        <v>4.1666666666666664E-2</v>
      </c>
      <c r="F70" s="105" t="str">
        <f t="shared" si="6"/>
        <v/>
      </c>
      <c r="G70" s="106" t="str">
        <f t="shared" si="2"/>
        <v/>
      </c>
      <c r="H70" s="106" t="str">
        <f t="shared" si="3"/>
        <v/>
      </c>
      <c r="I70" s="106" t="str">
        <f t="shared" si="7"/>
        <v/>
      </c>
      <c r="J70" s="12">
        <v>4.1666666666666664E-2</v>
      </c>
      <c r="K70" s="116"/>
      <c r="L70" s="108" t="s">
        <v>44</v>
      </c>
      <c r="N70" s="108" t="s">
        <v>44</v>
      </c>
      <c r="P70" s="108" t="s">
        <v>44</v>
      </c>
      <c r="R70" s="108" t="s">
        <v>44</v>
      </c>
    </row>
    <row r="71" spans="1:18" ht="13.8">
      <c r="A71" s="34"/>
      <c r="B71" s="110"/>
      <c r="C71" s="110"/>
      <c r="D71" s="128"/>
      <c r="E71" s="104">
        <f t="shared" si="5"/>
        <v>4.1666666666666664E-2</v>
      </c>
      <c r="F71" s="105" t="str">
        <f t="shared" si="6"/>
        <v/>
      </c>
      <c r="G71" s="106" t="str">
        <f t="shared" si="2"/>
        <v/>
      </c>
      <c r="H71" s="106" t="str">
        <f t="shared" si="3"/>
        <v/>
      </c>
      <c r="I71" s="106" t="str">
        <f t="shared" si="7"/>
        <v/>
      </c>
      <c r="J71" s="12">
        <v>4.1666666666666664E-2</v>
      </c>
      <c r="K71" s="116"/>
      <c r="L71" s="108" t="s">
        <v>44</v>
      </c>
      <c r="N71" s="108" t="s">
        <v>44</v>
      </c>
      <c r="P71" s="108" t="s">
        <v>44</v>
      </c>
      <c r="R71" s="108" t="s">
        <v>44</v>
      </c>
    </row>
    <row r="72" spans="1:18" ht="13.8">
      <c r="A72" s="34"/>
      <c r="B72" s="110"/>
      <c r="C72" s="110"/>
      <c r="D72" s="111"/>
      <c r="E72" s="104">
        <f t="shared" si="5"/>
        <v>4.1666666666666664E-2</v>
      </c>
      <c r="F72" s="105" t="str">
        <f t="shared" si="6"/>
        <v/>
      </c>
      <c r="G72" s="106" t="str">
        <f t="shared" si="2"/>
        <v/>
      </c>
      <c r="H72" s="106" t="str">
        <f t="shared" si="3"/>
        <v/>
      </c>
      <c r="I72" s="106" t="str">
        <f t="shared" si="7"/>
        <v/>
      </c>
      <c r="J72" s="12">
        <v>4.1666666666666664E-2</v>
      </c>
      <c r="K72" s="116"/>
      <c r="L72" s="108" t="s">
        <v>44</v>
      </c>
      <c r="N72" s="108" t="s">
        <v>44</v>
      </c>
      <c r="P72" s="108" t="s">
        <v>44</v>
      </c>
      <c r="R72" s="108" t="s">
        <v>44</v>
      </c>
    </row>
    <row r="73" spans="1:18" ht="13.8">
      <c r="A73" s="34"/>
      <c r="B73" s="110"/>
      <c r="C73" s="110"/>
      <c r="D73" s="128"/>
      <c r="E73" s="104">
        <f t="shared" si="5"/>
        <v>4.1666666666666664E-2</v>
      </c>
      <c r="F73" s="105" t="str">
        <f t="shared" si="6"/>
        <v/>
      </c>
      <c r="G73" s="106" t="str">
        <f t="shared" si="2"/>
        <v/>
      </c>
      <c r="H73" s="106" t="str">
        <f t="shared" si="3"/>
        <v/>
      </c>
      <c r="I73" s="106" t="str">
        <f t="shared" si="7"/>
        <v/>
      </c>
      <c r="J73" s="12">
        <v>4.1666666666666664E-2</v>
      </c>
      <c r="K73" s="116"/>
      <c r="L73" s="108" t="s">
        <v>44</v>
      </c>
      <c r="N73" s="108" t="s">
        <v>44</v>
      </c>
      <c r="P73" s="108" t="s">
        <v>44</v>
      </c>
      <c r="R73" s="108" t="s">
        <v>44</v>
      </c>
    </row>
    <row r="74" spans="1:18" ht="13.8">
      <c r="A74" s="34"/>
      <c r="B74" s="110"/>
      <c r="C74" s="110"/>
      <c r="D74" s="128"/>
      <c r="E74" s="104">
        <f t="shared" si="5"/>
        <v>4.1666666666666664E-2</v>
      </c>
      <c r="F74" s="105" t="str">
        <f t="shared" si="6"/>
        <v/>
      </c>
      <c r="G74" s="106" t="str">
        <f t="shared" si="2"/>
        <v/>
      </c>
      <c r="H74" s="106" t="str">
        <f t="shared" si="3"/>
        <v/>
      </c>
      <c r="I74" s="106" t="str">
        <f t="shared" si="7"/>
        <v/>
      </c>
      <c r="J74" s="12">
        <v>4.1666666666666664E-2</v>
      </c>
      <c r="K74" s="116"/>
      <c r="L74" s="108" t="s">
        <v>44</v>
      </c>
      <c r="N74" s="108" t="s">
        <v>44</v>
      </c>
      <c r="P74" s="108" t="s">
        <v>44</v>
      </c>
      <c r="R74" s="108" t="s">
        <v>44</v>
      </c>
    </row>
    <row r="75" spans="1:18" ht="13.8">
      <c r="A75" s="34"/>
      <c r="B75" s="110"/>
      <c r="C75" s="110"/>
      <c r="D75" s="128"/>
      <c r="E75" s="104">
        <f t="shared" si="5"/>
        <v>4.1666666666666664E-2</v>
      </c>
      <c r="F75" s="105" t="str">
        <f t="shared" si="6"/>
        <v/>
      </c>
      <c r="G75" s="106" t="str">
        <f t="shared" si="2"/>
        <v/>
      </c>
      <c r="H75" s="106" t="str">
        <f t="shared" si="3"/>
        <v/>
      </c>
      <c r="I75" s="106" t="str">
        <f t="shared" si="7"/>
        <v/>
      </c>
      <c r="J75" s="12">
        <v>4.1666666666666664E-2</v>
      </c>
      <c r="K75" s="116"/>
      <c r="L75" s="108" t="s">
        <v>44</v>
      </c>
      <c r="N75" s="108" t="s">
        <v>44</v>
      </c>
      <c r="P75" s="108" t="s">
        <v>44</v>
      </c>
      <c r="R75" s="108" t="s">
        <v>44</v>
      </c>
    </row>
    <row r="76" spans="1:18" ht="13.8">
      <c r="A76" s="34"/>
      <c r="B76" s="110"/>
      <c r="C76" s="110"/>
      <c r="D76" s="128"/>
      <c r="E76" s="104">
        <f t="shared" si="5"/>
        <v>4.1666666666666664E-2</v>
      </c>
      <c r="F76" s="105" t="str">
        <f t="shared" si="6"/>
        <v/>
      </c>
      <c r="G76" s="106" t="str">
        <f t="shared" si="2"/>
        <v/>
      </c>
      <c r="H76" s="106" t="str">
        <f t="shared" si="3"/>
        <v/>
      </c>
      <c r="I76" s="106" t="str">
        <f t="shared" si="7"/>
        <v/>
      </c>
      <c r="J76" s="12">
        <v>4.1666666666666664E-2</v>
      </c>
      <c r="K76" s="116"/>
      <c r="L76" s="108" t="s">
        <v>44</v>
      </c>
      <c r="N76" s="108" t="s">
        <v>44</v>
      </c>
      <c r="P76" s="108" t="s">
        <v>44</v>
      </c>
      <c r="R76" s="108" t="s">
        <v>44</v>
      </c>
    </row>
    <row r="77" spans="1:18" ht="13.8">
      <c r="A77" s="34"/>
      <c r="B77" s="110"/>
      <c r="C77" s="110"/>
      <c r="D77" s="128"/>
      <c r="E77" s="104">
        <f t="shared" si="5"/>
        <v>4.1666666666666664E-2</v>
      </c>
      <c r="F77" s="105" t="str">
        <f t="shared" si="6"/>
        <v/>
      </c>
      <c r="G77" s="106" t="str">
        <f t="shared" si="2"/>
        <v/>
      </c>
      <c r="H77" s="106" t="str">
        <f t="shared" si="3"/>
        <v/>
      </c>
      <c r="I77" s="106" t="str">
        <f t="shared" si="7"/>
        <v/>
      </c>
      <c r="J77" s="12">
        <v>4.1666666666666664E-2</v>
      </c>
      <c r="K77" s="116"/>
      <c r="L77" s="108" t="s">
        <v>44</v>
      </c>
      <c r="N77" s="108" t="s">
        <v>44</v>
      </c>
      <c r="P77" s="108" t="s">
        <v>44</v>
      </c>
      <c r="R77" s="108" t="s">
        <v>44</v>
      </c>
    </row>
    <row r="78" spans="1:18" ht="13.8">
      <c r="A78" s="29"/>
      <c r="B78" s="121"/>
      <c r="C78" s="121"/>
      <c r="D78" s="124"/>
      <c r="E78" s="104">
        <f t="shared" si="5"/>
        <v>8.3333333333333329E-2</v>
      </c>
      <c r="F78" s="105" t="str">
        <f t="shared" si="6"/>
        <v/>
      </c>
      <c r="G78" s="106" t="str">
        <f t="shared" si="2"/>
        <v/>
      </c>
      <c r="H78" s="106" t="str">
        <f t="shared" si="3"/>
        <v/>
      </c>
      <c r="I78" s="106" t="str">
        <f t="shared" si="7"/>
        <v/>
      </c>
      <c r="J78" s="12">
        <v>8.3333333333333329E-2</v>
      </c>
      <c r="K78" s="116"/>
      <c r="L78" s="108" t="s">
        <v>44</v>
      </c>
      <c r="N78" s="108" t="s">
        <v>44</v>
      </c>
      <c r="P78" s="108" t="s">
        <v>44</v>
      </c>
      <c r="R78" s="108" t="s">
        <v>44</v>
      </c>
    </row>
    <row r="79" spans="1:18" ht="13.8">
      <c r="A79" s="34"/>
      <c r="B79" s="110"/>
      <c r="C79" s="110"/>
      <c r="D79" s="128"/>
      <c r="E79" s="104">
        <f t="shared" si="5"/>
        <v>4.1666666666666664E-2</v>
      </c>
      <c r="F79" s="105" t="str">
        <f t="shared" si="6"/>
        <v/>
      </c>
      <c r="G79" s="106" t="str">
        <f t="shared" si="2"/>
        <v/>
      </c>
      <c r="H79" s="106" t="str">
        <f t="shared" si="3"/>
        <v/>
      </c>
      <c r="I79" s="106" t="str">
        <f t="shared" si="7"/>
        <v/>
      </c>
      <c r="J79" s="12">
        <v>4.1666666666666664E-2</v>
      </c>
      <c r="K79" s="116"/>
      <c r="L79" s="108" t="s">
        <v>44</v>
      </c>
      <c r="N79" s="108" t="s">
        <v>44</v>
      </c>
      <c r="P79" s="108" t="s">
        <v>44</v>
      </c>
      <c r="R79" s="108" t="s">
        <v>44</v>
      </c>
    </row>
    <row r="80" spans="1:18" ht="13.8">
      <c r="A80" s="34"/>
      <c r="B80" s="110"/>
      <c r="C80" s="110"/>
      <c r="D80" s="128"/>
      <c r="E80" s="104">
        <f t="shared" si="5"/>
        <v>4.1666666666666664E-2</v>
      </c>
      <c r="F80" s="105" t="str">
        <f t="shared" si="6"/>
        <v/>
      </c>
      <c r="G80" s="106" t="str">
        <f t="shared" si="2"/>
        <v/>
      </c>
      <c r="H80" s="106" t="str">
        <f t="shared" si="3"/>
        <v/>
      </c>
      <c r="I80" s="106" t="str">
        <f t="shared" si="7"/>
        <v/>
      </c>
      <c r="J80" s="12">
        <v>4.1666666666666664E-2</v>
      </c>
      <c r="K80" s="116"/>
      <c r="L80" s="108" t="s">
        <v>44</v>
      </c>
      <c r="N80" s="108" t="s">
        <v>44</v>
      </c>
      <c r="P80" s="108" t="s">
        <v>44</v>
      </c>
      <c r="R80" s="108" t="s">
        <v>44</v>
      </c>
    </row>
    <row r="81" spans="1:18" ht="13.8">
      <c r="A81" s="34"/>
      <c r="B81" s="110"/>
      <c r="C81" s="110"/>
      <c r="D81" s="128"/>
      <c r="E81" s="104">
        <f t="shared" si="5"/>
        <v>4.1666666666666664E-2</v>
      </c>
      <c r="F81" s="105" t="str">
        <f t="shared" si="6"/>
        <v/>
      </c>
      <c r="G81" s="106" t="str">
        <f t="shared" si="2"/>
        <v/>
      </c>
      <c r="H81" s="106" t="str">
        <f t="shared" si="3"/>
        <v/>
      </c>
      <c r="I81" s="106" t="str">
        <f t="shared" si="7"/>
        <v/>
      </c>
      <c r="J81" s="12">
        <v>4.1666666666666664E-2</v>
      </c>
      <c r="K81" s="116"/>
      <c r="L81" s="108" t="s">
        <v>44</v>
      </c>
      <c r="N81" s="108" t="s">
        <v>44</v>
      </c>
      <c r="P81" s="108" t="s">
        <v>44</v>
      </c>
      <c r="R81" s="108" t="s">
        <v>44</v>
      </c>
    </row>
    <row r="82" spans="1:18" ht="13.8">
      <c r="A82" s="34"/>
      <c r="B82" s="110"/>
      <c r="C82" s="110"/>
      <c r="D82" s="111"/>
      <c r="E82" s="104">
        <f t="shared" si="5"/>
        <v>4.1666666666666664E-2</v>
      </c>
      <c r="F82" s="105" t="str">
        <f t="shared" si="6"/>
        <v/>
      </c>
      <c r="G82" s="106" t="str">
        <f t="shared" si="2"/>
        <v/>
      </c>
      <c r="H82" s="106" t="str">
        <f t="shared" si="3"/>
        <v/>
      </c>
      <c r="I82" s="106" t="str">
        <f t="shared" si="7"/>
        <v/>
      </c>
      <c r="J82" s="12">
        <v>4.1666666666666664E-2</v>
      </c>
      <c r="K82" s="116"/>
      <c r="L82" s="108" t="s">
        <v>44</v>
      </c>
      <c r="N82" s="108" t="s">
        <v>44</v>
      </c>
      <c r="P82" s="108" t="s">
        <v>44</v>
      </c>
      <c r="R82" s="108" t="s">
        <v>44</v>
      </c>
    </row>
    <row r="83" spans="1:18" ht="13.8">
      <c r="A83" s="34"/>
      <c r="B83" s="110"/>
      <c r="C83" s="110"/>
      <c r="D83" s="111"/>
      <c r="E83" s="104">
        <f t="shared" si="5"/>
        <v>4.1666666666666664E-2</v>
      </c>
      <c r="F83" s="105" t="str">
        <f t="shared" si="6"/>
        <v/>
      </c>
      <c r="G83" s="106" t="str">
        <f t="shared" si="2"/>
        <v/>
      </c>
      <c r="H83" s="106" t="str">
        <f t="shared" si="3"/>
        <v/>
      </c>
      <c r="I83" s="106" t="str">
        <f t="shared" si="7"/>
        <v/>
      </c>
      <c r="J83" s="12">
        <v>4.1666666666666664E-2</v>
      </c>
      <c r="K83" s="116"/>
      <c r="L83" s="108" t="s">
        <v>44</v>
      </c>
      <c r="N83" s="108" t="s">
        <v>44</v>
      </c>
      <c r="P83" s="108" t="s">
        <v>44</v>
      </c>
      <c r="R83" s="108" t="s">
        <v>44</v>
      </c>
    </row>
    <row r="84" spans="1:18" ht="13.8">
      <c r="A84" s="34"/>
      <c r="B84" s="110"/>
      <c r="C84" s="110"/>
      <c r="D84" s="128"/>
      <c r="E84" s="104">
        <f t="shared" si="5"/>
        <v>4.1666666666666664E-2</v>
      </c>
      <c r="F84" s="105" t="str">
        <f t="shared" si="6"/>
        <v/>
      </c>
      <c r="G84" s="106" t="str">
        <f t="shared" si="2"/>
        <v/>
      </c>
      <c r="H84" s="106" t="str">
        <f t="shared" si="3"/>
        <v/>
      </c>
      <c r="I84" s="106" t="str">
        <f t="shared" si="7"/>
        <v/>
      </c>
      <c r="J84" s="12">
        <v>4.1666666666666664E-2</v>
      </c>
      <c r="K84" s="116"/>
      <c r="L84" s="108" t="s">
        <v>44</v>
      </c>
      <c r="N84" s="108" t="s">
        <v>44</v>
      </c>
      <c r="P84" s="108" t="s">
        <v>44</v>
      </c>
      <c r="R84" s="108" t="s">
        <v>44</v>
      </c>
    </row>
    <row r="85" spans="1:18" ht="13.8">
      <c r="A85" s="34"/>
      <c r="B85" s="110"/>
      <c r="C85" s="110"/>
      <c r="D85" s="128"/>
      <c r="E85" s="104">
        <f t="shared" si="5"/>
        <v>4.1666666666666664E-2</v>
      </c>
      <c r="F85" s="105" t="str">
        <f t="shared" si="6"/>
        <v/>
      </c>
      <c r="G85" s="106" t="str">
        <f t="shared" si="2"/>
        <v/>
      </c>
      <c r="H85" s="106" t="str">
        <f t="shared" si="3"/>
        <v/>
      </c>
      <c r="I85" s="106" t="str">
        <f t="shared" si="7"/>
        <v/>
      </c>
      <c r="J85" s="12">
        <v>4.1666666666666664E-2</v>
      </c>
      <c r="K85" s="116"/>
      <c r="L85" s="108" t="s">
        <v>44</v>
      </c>
      <c r="N85" s="108" t="s">
        <v>44</v>
      </c>
      <c r="P85" s="108" t="s">
        <v>44</v>
      </c>
      <c r="R85" s="108" t="s">
        <v>44</v>
      </c>
    </row>
    <row r="86" spans="1:18" ht="13.8">
      <c r="A86" s="34"/>
      <c r="B86" s="110"/>
      <c r="C86" s="110"/>
      <c r="D86" s="128"/>
      <c r="E86" s="104">
        <f t="shared" si="5"/>
        <v>4.1666666666666664E-2</v>
      </c>
      <c r="F86" s="105" t="str">
        <f t="shared" si="6"/>
        <v/>
      </c>
      <c r="G86" s="106" t="str">
        <f t="shared" si="2"/>
        <v/>
      </c>
      <c r="H86" s="106" t="str">
        <f t="shared" si="3"/>
        <v/>
      </c>
      <c r="I86" s="106" t="str">
        <f t="shared" si="7"/>
        <v/>
      </c>
      <c r="J86" s="12">
        <v>4.1666666666666664E-2</v>
      </c>
      <c r="K86" s="116"/>
      <c r="L86" s="108" t="s">
        <v>44</v>
      </c>
      <c r="N86" s="108" t="s">
        <v>44</v>
      </c>
      <c r="P86" s="108" t="s">
        <v>44</v>
      </c>
      <c r="R86" s="108" t="s">
        <v>44</v>
      </c>
    </row>
    <row r="87" spans="1:18" ht="13.8">
      <c r="A87" s="34"/>
      <c r="B87" s="110"/>
      <c r="C87" s="110"/>
      <c r="D87" s="128"/>
      <c r="E87" s="104">
        <f t="shared" si="5"/>
        <v>4.1666666666666664E-2</v>
      </c>
      <c r="F87" s="105" t="str">
        <f t="shared" si="6"/>
        <v/>
      </c>
      <c r="G87" s="106" t="str">
        <f t="shared" si="2"/>
        <v/>
      </c>
      <c r="H87" s="106" t="str">
        <f t="shared" si="3"/>
        <v/>
      </c>
      <c r="I87" s="106" t="str">
        <f t="shared" si="7"/>
        <v/>
      </c>
      <c r="J87" s="12">
        <v>4.1666666666666664E-2</v>
      </c>
      <c r="K87" s="116"/>
      <c r="L87" s="108" t="s">
        <v>44</v>
      </c>
      <c r="N87" s="108" t="s">
        <v>44</v>
      </c>
      <c r="P87" s="108" t="s">
        <v>44</v>
      </c>
      <c r="R87" s="108" t="s">
        <v>44</v>
      </c>
    </row>
    <row r="88" spans="1:18" ht="13.8">
      <c r="A88" s="34"/>
      <c r="B88" s="110"/>
      <c r="C88" s="110"/>
      <c r="D88" s="128"/>
      <c r="E88" s="104">
        <f t="shared" si="5"/>
        <v>4.1666666666666664E-2</v>
      </c>
      <c r="F88" s="105" t="str">
        <f t="shared" si="6"/>
        <v/>
      </c>
      <c r="G88" s="106" t="str">
        <f t="shared" si="2"/>
        <v/>
      </c>
      <c r="H88" s="106" t="str">
        <f t="shared" si="3"/>
        <v/>
      </c>
      <c r="I88" s="106" t="str">
        <f t="shared" si="7"/>
        <v/>
      </c>
      <c r="J88" s="12">
        <v>4.1666666666666664E-2</v>
      </c>
      <c r="K88" s="116"/>
      <c r="L88" s="108" t="s">
        <v>44</v>
      </c>
      <c r="N88" s="108" t="s">
        <v>44</v>
      </c>
      <c r="P88" s="108" t="s">
        <v>44</v>
      </c>
      <c r="R88" s="108" t="s">
        <v>44</v>
      </c>
    </row>
    <row r="89" spans="1:18" ht="13.8">
      <c r="A89" s="34"/>
      <c r="B89" s="110"/>
      <c r="C89" s="110"/>
      <c r="D89" s="128"/>
      <c r="E89" s="104">
        <f t="shared" si="5"/>
        <v>4.1666666666666664E-2</v>
      </c>
      <c r="F89" s="105" t="str">
        <f t="shared" si="6"/>
        <v/>
      </c>
      <c r="G89" s="106" t="str">
        <f t="shared" si="2"/>
        <v/>
      </c>
      <c r="H89" s="106" t="str">
        <f t="shared" si="3"/>
        <v/>
      </c>
      <c r="I89" s="106" t="str">
        <f t="shared" si="7"/>
        <v/>
      </c>
      <c r="J89" s="12">
        <v>4.1666666666666664E-2</v>
      </c>
      <c r="K89" s="116"/>
      <c r="L89" s="108" t="s">
        <v>44</v>
      </c>
      <c r="N89" s="108" t="s">
        <v>44</v>
      </c>
      <c r="P89" s="108" t="s">
        <v>44</v>
      </c>
      <c r="R89" s="108" t="s">
        <v>44</v>
      </c>
    </row>
    <row r="90" spans="1:18" ht="13.8">
      <c r="A90" s="34"/>
      <c r="B90" s="110"/>
      <c r="C90" s="110"/>
      <c r="D90" s="128"/>
      <c r="E90" s="104">
        <f t="shared" si="5"/>
        <v>4.1666666666666664E-2</v>
      </c>
      <c r="F90" s="105" t="str">
        <f t="shared" si="6"/>
        <v/>
      </c>
      <c r="G90" s="106" t="str">
        <f t="shared" si="2"/>
        <v/>
      </c>
      <c r="H90" s="106" t="str">
        <f t="shared" si="3"/>
        <v/>
      </c>
      <c r="I90" s="106" t="str">
        <f t="shared" si="7"/>
        <v/>
      </c>
      <c r="J90" s="12">
        <v>4.1666666666666664E-2</v>
      </c>
      <c r="K90" s="116"/>
      <c r="L90" s="108" t="s">
        <v>44</v>
      </c>
      <c r="N90" s="108" t="s">
        <v>44</v>
      </c>
      <c r="P90" s="108" t="s">
        <v>44</v>
      </c>
      <c r="R90" s="108" t="s">
        <v>44</v>
      </c>
    </row>
    <row r="91" spans="1:18" ht="13.8">
      <c r="A91" s="34"/>
      <c r="B91" s="110"/>
      <c r="C91" s="110"/>
      <c r="D91" s="128"/>
      <c r="E91" s="104">
        <f t="shared" si="5"/>
        <v>4.1666666666666664E-2</v>
      </c>
      <c r="F91" s="105" t="str">
        <f t="shared" si="6"/>
        <v/>
      </c>
      <c r="G91" s="106" t="str">
        <f t="shared" si="2"/>
        <v/>
      </c>
      <c r="H91" s="106" t="str">
        <f t="shared" si="3"/>
        <v/>
      </c>
      <c r="I91" s="106" t="str">
        <f t="shared" si="7"/>
        <v/>
      </c>
      <c r="J91" s="12">
        <v>4.1666666666666664E-2</v>
      </c>
      <c r="K91" s="116"/>
      <c r="L91" s="108" t="s">
        <v>44</v>
      </c>
      <c r="N91" s="108" t="s">
        <v>44</v>
      </c>
      <c r="P91" s="108" t="s">
        <v>44</v>
      </c>
      <c r="R91" s="108" t="s">
        <v>44</v>
      </c>
    </row>
    <row r="92" spans="1:18" ht="13.8">
      <c r="A92" s="29"/>
      <c r="B92" s="110"/>
      <c r="C92" s="110"/>
      <c r="D92" s="128"/>
      <c r="E92" s="104">
        <f t="shared" si="5"/>
        <v>8.3333333333333329E-2</v>
      </c>
      <c r="F92" s="105" t="str">
        <f t="shared" si="6"/>
        <v/>
      </c>
      <c r="G92" s="106" t="str">
        <f t="shared" si="2"/>
        <v/>
      </c>
      <c r="H92" s="106" t="str">
        <f t="shared" si="3"/>
        <v/>
      </c>
      <c r="I92" s="106" t="str">
        <f t="shared" si="7"/>
        <v/>
      </c>
      <c r="J92" s="12">
        <v>8.3333333333333329E-2</v>
      </c>
      <c r="K92" s="116"/>
      <c r="L92" s="108" t="s">
        <v>44</v>
      </c>
      <c r="N92" s="108" t="s">
        <v>44</v>
      </c>
      <c r="P92" s="108" t="s">
        <v>44</v>
      </c>
      <c r="R92" s="108" t="s">
        <v>44</v>
      </c>
    </row>
    <row r="93" spans="1:18" ht="13.8">
      <c r="A93" s="34"/>
      <c r="B93" s="110"/>
      <c r="C93" s="110"/>
      <c r="D93" s="128"/>
      <c r="E93" s="104">
        <f t="shared" si="5"/>
        <v>4.1666666666666664E-2</v>
      </c>
      <c r="F93" s="105" t="str">
        <f t="shared" si="6"/>
        <v/>
      </c>
      <c r="G93" s="106" t="str">
        <f t="shared" si="2"/>
        <v/>
      </c>
      <c r="H93" s="106" t="str">
        <f t="shared" si="3"/>
        <v/>
      </c>
      <c r="I93" s="106" t="str">
        <f t="shared" si="7"/>
        <v/>
      </c>
      <c r="J93" s="12">
        <v>4.1666666666666664E-2</v>
      </c>
      <c r="K93" s="116"/>
      <c r="L93" s="108" t="s">
        <v>44</v>
      </c>
      <c r="N93" s="108" t="s">
        <v>44</v>
      </c>
      <c r="P93" s="108" t="s">
        <v>44</v>
      </c>
      <c r="R93" s="108" t="s">
        <v>44</v>
      </c>
    </row>
    <row r="94" spans="1:18" ht="13.8">
      <c r="A94" s="34"/>
      <c r="B94" s="110"/>
      <c r="C94" s="110"/>
      <c r="D94" s="128"/>
      <c r="E94" s="104">
        <f t="shared" si="5"/>
        <v>4.1666666666666664E-2</v>
      </c>
      <c r="F94" s="105" t="str">
        <f t="shared" si="6"/>
        <v/>
      </c>
      <c r="G94" s="106" t="str">
        <f t="shared" si="2"/>
        <v/>
      </c>
      <c r="H94" s="106" t="str">
        <f t="shared" si="3"/>
        <v/>
      </c>
      <c r="I94" s="106" t="str">
        <f t="shared" si="7"/>
        <v/>
      </c>
      <c r="J94" s="12">
        <v>4.1666666666666664E-2</v>
      </c>
      <c r="K94" s="116"/>
      <c r="L94" s="108" t="s">
        <v>44</v>
      </c>
      <c r="N94" s="108" t="s">
        <v>44</v>
      </c>
      <c r="P94" s="108" t="s">
        <v>44</v>
      </c>
      <c r="R94" s="108" t="s">
        <v>44</v>
      </c>
    </row>
    <row r="95" spans="1:18" ht="13.8">
      <c r="A95" s="34"/>
      <c r="B95" s="110"/>
      <c r="C95" s="110"/>
      <c r="D95" s="128"/>
      <c r="E95" s="104">
        <f t="shared" si="5"/>
        <v>4.1666666666666664E-2</v>
      </c>
      <c r="F95" s="105" t="str">
        <f t="shared" si="6"/>
        <v/>
      </c>
      <c r="G95" s="106" t="str">
        <f t="shared" si="2"/>
        <v/>
      </c>
      <c r="H95" s="106" t="str">
        <f t="shared" si="3"/>
        <v/>
      </c>
      <c r="I95" s="106" t="str">
        <f t="shared" si="7"/>
        <v/>
      </c>
      <c r="J95" s="12">
        <v>4.1666666666666664E-2</v>
      </c>
      <c r="K95" s="116"/>
      <c r="L95" s="108" t="s">
        <v>44</v>
      </c>
      <c r="N95" s="108" t="s">
        <v>44</v>
      </c>
      <c r="P95" s="108" t="s">
        <v>44</v>
      </c>
      <c r="R95" s="108" t="s">
        <v>44</v>
      </c>
    </row>
    <row r="96" spans="1:18" ht="13.8">
      <c r="A96" s="34"/>
      <c r="B96" s="125"/>
      <c r="C96" s="125"/>
      <c r="D96" s="128"/>
      <c r="E96" s="104">
        <f t="shared" si="5"/>
        <v>4.1666666666666664E-2</v>
      </c>
      <c r="F96" s="105" t="str">
        <f t="shared" si="6"/>
        <v/>
      </c>
      <c r="G96" s="106" t="str">
        <f t="shared" si="2"/>
        <v/>
      </c>
      <c r="H96" s="106" t="str">
        <f t="shared" si="3"/>
        <v/>
      </c>
      <c r="I96" s="106" t="str">
        <f t="shared" si="7"/>
        <v/>
      </c>
      <c r="J96" s="12">
        <v>4.1666666666666664E-2</v>
      </c>
      <c r="K96" s="116"/>
      <c r="L96" s="108" t="s">
        <v>44</v>
      </c>
      <c r="N96" s="108" t="s">
        <v>44</v>
      </c>
      <c r="P96" s="108" t="s">
        <v>44</v>
      </c>
      <c r="R96" s="108" t="s">
        <v>44</v>
      </c>
    </row>
    <row r="97" spans="1:18" ht="13.8">
      <c r="A97" s="15"/>
      <c r="B97" s="110"/>
      <c r="C97" s="110"/>
      <c r="D97" s="128"/>
      <c r="E97" s="104">
        <f t="shared" si="5"/>
        <v>4.1666666666666664E-2</v>
      </c>
      <c r="F97" s="105" t="str">
        <f t="shared" si="6"/>
        <v/>
      </c>
      <c r="G97" s="106" t="str">
        <f t="shared" si="2"/>
        <v/>
      </c>
      <c r="H97" s="106" t="str">
        <f t="shared" si="3"/>
        <v/>
      </c>
      <c r="I97" s="106" t="str">
        <f t="shared" si="7"/>
        <v/>
      </c>
      <c r="J97" s="12">
        <v>4.1666666666666664E-2</v>
      </c>
      <c r="K97" s="116"/>
      <c r="L97" s="108" t="s">
        <v>44</v>
      </c>
      <c r="N97" s="108" t="s">
        <v>44</v>
      </c>
      <c r="P97" s="108" t="s">
        <v>44</v>
      </c>
      <c r="R97" s="108" t="s">
        <v>44</v>
      </c>
    </row>
    <row r="98" spans="1:18" ht="13.8">
      <c r="A98" s="34"/>
      <c r="B98" s="110"/>
      <c r="C98" s="110"/>
      <c r="D98" s="111"/>
      <c r="E98" s="104">
        <f t="shared" si="5"/>
        <v>4.1666666666666664E-2</v>
      </c>
      <c r="F98" s="105" t="str">
        <f t="shared" si="6"/>
        <v/>
      </c>
      <c r="G98" s="106" t="str">
        <f t="shared" si="2"/>
        <v/>
      </c>
      <c r="H98" s="106" t="str">
        <f t="shared" si="3"/>
        <v/>
      </c>
      <c r="I98" s="106" t="str">
        <f t="shared" si="7"/>
        <v/>
      </c>
      <c r="J98" s="12">
        <v>4.1666666666666664E-2</v>
      </c>
      <c r="K98" s="116"/>
      <c r="L98" s="108" t="s">
        <v>44</v>
      </c>
      <c r="N98" s="108" t="s">
        <v>44</v>
      </c>
      <c r="P98" s="108" t="s">
        <v>44</v>
      </c>
      <c r="R98" s="108" t="s">
        <v>44</v>
      </c>
    </row>
    <row r="99" spans="1:18" ht="13.8">
      <c r="A99" s="34"/>
      <c r="B99" s="110"/>
      <c r="C99" s="110"/>
      <c r="D99" s="111"/>
      <c r="E99" s="104">
        <f t="shared" si="5"/>
        <v>4.1666666666666664E-2</v>
      </c>
      <c r="F99" s="105" t="str">
        <f t="shared" si="6"/>
        <v/>
      </c>
      <c r="G99" s="106" t="str">
        <f t="shared" si="2"/>
        <v/>
      </c>
      <c r="H99" s="106" t="str">
        <f t="shared" si="3"/>
        <v/>
      </c>
      <c r="I99" s="106" t="str">
        <f t="shared" si="7"/>
        <v/>
      </c>
      <c r="J99" s="12">
        <v>4.1666666666666664E-2</v>
      </c>
      <c r="K99" s="116"/>
      <c r="L99" s="108" t="s">
        <v>44</v>
      </c>
      <c r="N99" s="108" t="s">
        <v>44</v>
      </c>
      <c r="P99" s="108" t="s">
        <v>44</v>
      </c>
      <c r="R99" s="108" t="s">
        <v>44</v>
      </c>
    </row>
    <row r="100" spans="1:18" ht="13.8">
      <c r="A100" s="34"/>
      <c r="B100" s="110"/>
      <c r="C100" s="110"/>
      <c r="D100" s="111"/>
      <c r="E100" s="104">
        <f t="shared" si="5"/>
        <v>4.1666666666666664E-2</v>
      </c>
      <c r="F100" s="105" t="str">
        <f t="shared" si="6"/>
        <v/>
      </c>
      <c r="G100" s="106" t="str">
        <f t="shared" si="2"/>
        <v/>
      </c>
      <c r="H100" s="106" t="str">
        <f t="shared" si="3"/>
        <v/>
      </c>
      <c r="I100" s="106" t="str">
        <f t="shared" si="7"/>
        <v/>
      </c>
      <c r="J100" s="12">
        <v>4.1666666666666664E-2</v>
      </c>
      <c r="K100" s="116"/>
      <c r="L100" s="108" t="s">
        <v>44</v>
      </c>
      <c r="N100" s="108" t="s">
        <v>44</v>
      </c>
      <c r="P100" s="108" t="s">
        <v>44</v>
      </c>
      <c r="R100" s="108" t="s">
        <v>44</v>
      </c>
    </row>
    <row r="101" spans="1:18" ht="13.8">
      <c r="A101" s="34"/>
      <c r="B101" s="110"/>
      <c r="C101" s="110"/>
      <c r="D101" s="111"/>
      <c r="E101" s="104">
        <f t="shared" si="5"/>
        <v>4.1666666666666664E-2</v>
      </c>
      <c r="F101" s="105" t="str">
        <f t="shared" si="6"/>
        <v/>
      </c>
      <c r="G101" s="106" t="str">
        <f t="shared" si="2"/>
        <v/>
      </c>
      <c r="H101" s="106" t="str">
        <f t="shared" si="3"/>
        <v/>
      </c>
      <c r="I101" s="106" t="str">
        <f t="shared" si="7"/>
        <v/>
      </c>
      <c r="J101" s="12">
        <v>4.1666666666666664E-2</v>
      </c>
      <c r="K101" s="116"/>
      <c r="L101" s="108" t="s">
        <v>44</v>
      </c>
      <c r="N101" s="108" t="s">
        <v>44</v>
      </c>
      <c r="P101" s="108" t="s">
        <v>44</v>
      </c>
      <c r="R101" s="108" t="s">
        <v>44</v>
      </c>
    </row>
    <row r="102" spans="1:18" ht="13.8">
      <c r="A102" s="34"/>
      <c r="B102" s="110"/>
      <c r="C102" s="110"/>
      <c r="D102" s="111"/>
      <c r="E102" s="133">
        <f t="shared" si="5"/>
        <v>4.1666666666666664E-2</v>
      </c>
      <c r="F102" s="105" t="str">
        <f t="shared" si="6"/>
        <v/>
      </c>
      <c r="G102" s="106" t="str">
        <f t="shared" si="2"/>
        <v/>
      </c>
      <c r="H102" s="106" t="str">
        <f t="shared" si="3"/>
        <v/>
      </c>
      <c r="I102" s="106" t="str">
        <f t="shared" si="7"/>
        <v/>
      </c>
      <c r="J102" s="134">
        <v>4.1666666666666664E-2</v>
      </c>
      <c r="K102" s="116"/>
      <c r="L102" s="108" t="s">
        <v>44</v>
      </c>
      <c r="N102" s="108" t="s">
        <v>44</v>
      </c>
      <c r="P102" s="108" t="s">
        <v>44</v>
      </c>
      <c r="R102" s="108" t="s">
        <v>44</v>
      </c>
    </row>
    <row r="103" spans="1:18" ht="13.2">
      <c r="D103" s="82"/>
      <c r="K103" s="116"/>
      <c r="L103" s="135"/>
      <c r="N103" s="135"/>
      <c r="P103" s="135"/>
      <c r="R103" s="135"/>
    </row>
    <row r="104" spans="1:18" ht="13.2">
      <c r="D104" s="82"/>
      <c r="K104" s="116"/>
      <c r="L104" s="135"/>
      <c r="N104" s="135"/>
      <c r="P104" s="135"/>
      <c r="R104" s="135"/>
    </row>
    <row r="105" spans="1:18" ht="13.2">
      <c r="D105" s="82"/>
      <c r="K105" s="116"/>
      <c r="L105" s="135"/>
      <c r="N105" s="135"/>
      <c r="P105" s="135"/>
      <c r="R105" s="135"/>
    </row>
    <row r="106" spans="1:18" ht="13.2">
      <c r="D106" s="82"/>
      <c r="E106" s="136"/>
      <c r="K106" s="116"/>
      <c r="L106" s="135"/>
      <c r="N106" s="135"/>
      <c r="P106" s="135"/>
      <c r="R106" s="135"/>
    </row>
    <row r="107" spans="1:18" ht="13.2">
      <c r="D107" s="82"/>
      <c r="K107" s="116"/>
      <c r="L107" s="135"/>
      <c r="N107" s="135"/>
      <c r="P107" s="135"/>
      <c r="R107" s="135"/>
    </row>
    <row r="108" spans="1:18" ht="13.2">
      <c r="D108" s="82"/>
      <c r="K108" s="116"/>
      <c r="L108" s="135"/>
      <c r="N108" s="135"/>
      <c r="P108" s="135"/>
      <c r="R108" s="135"/>
    </row>
    <row r="109" spans="1:18" ht="13.2">
      <c r="D109" s="82"/>
      <c r="K109" s="116"/>
      <c r="L109" s="135"/>
      <c r="N109" s="135"/>
      <c r="P109" s="135"/>
      <c r="R109" s="135"/>
    </row>
    <row r="110" spans="1:18" ht="13.2">
      <c r="D110" s="82"/>
      <c r="K110" s="116"/>
      <c r="L110" s="135"/>
      <c r="N110" s="135"/>
      <c r="P110" s="135"/>
      <c r="R110" s="135"/>
    </row>
    <row r="111" spans="1:18" ht="13.2">
      <c r="D111" s="82"/>
      <c r="K111" s="116"/>
      <c r="L111" s="135"/>
      <c r="N111" s="135"/>
      <c r="P111" s="135"/>
      <c r="R111" s="135"/>
    </row>
    <row r="112" spans="1:18" ht="13.2">
      <c r="D112" s="82"/>
      <c r="K112" s="116"/>
      <c r="L112" s="135"/>
      <c r="N112" s="135"/>
      <c r="P112" s="135"/>
      <c r="R112" s="135"/>
    </row>
    <row r="113" spans="4:18" ht="13.2">
      <c r="D113" s="82"/>
      <c r="K113" s="116"/>
      <c r="L113" s="135"/>
      <c r="N113" s="135"/>
      <c r="P113" s="135"/>
      <c r="R113" s="135"/>
    </row>
    <row r="114" spans="4:18" ht="13.2">
      <c r="D114" s="82"/>
      <c r="K114" s="116"/>
      <c r="L114" s="135"/>
      <c r="N114" s="135"/>
      <c r="P114" s="135"/>
      <c r="R114" s="135"/>
    </row>
    <row r="115" spans="4:18" ht="13.2">
      <c r="D115" s="82"/>
      <c r="K115" s="116"/>
      <c r="L115" s="135"/>
      <c r="N115" s="135"/>
      <c r="P115" s="135"/>
      <c r="R115" s="135"/>
    </row>
    <row r="116" spans="4:18" ht="13.2">
      <c r="D116" s="82"/>
      <c r="K116" s="116"/>
      <c r="L116" s="135"/>
      <c r="N116" s="135"/>
      <c r="P116" s="135"/>
      <c r="R116" s="135"/>
    </row>
    <row r="117" spans="4:18" ht="13.2">
      <c r="D117" s="82"/>
      <c r="K117" s="116"/>
      <c r="L117" s="135"/>
      <c r="N117" s="135"/>
      <c r="P117" s="135"/>
      <c r="R117" s="135"/>
    </row>
    <row r="118" spans="4:18" ht="13.2">
      <c r="D118" s="82"/>
      <c r="K118" s="116"/>
      <c r="L118" s="135"/>
      <c r="N118" s="135"/>
      <c r="P118" s="135"/>
      <c r="R118" s="135"/>
    </row>
    <row r="119" spans="4:18" ht="13.2">
      <c r="D119" s="82"/>
      <c r="K119" s="116"/>
      <c r="L119" s="135"/>
      <c r="N119" s="135"/>
      <c r="P119" s="135"/>
      <c r="R119" s="135"/>
    </row>
    <row r="120" spans="4:18" ht="13.2">
      <c r="D120" s="82"/>
      <c r="K120" s="116"/>
      <c r="L120" s="135"/>
      <c r="N120" s="135"/>
      <c r="P120" s="135"/>
      <c r="R120" s="135"/>
    </row>
    <row r="121" spans="4:18" ht="13.2">
      <c r="D121" s="82"/>
      <c r="K121" s="116"/>
      <c r="L121" s="135"/>
      <c r="N121" s="135"/>
      <c r="P121" s="135"/>
      <c r="R121" s="135"/>
    </row>
    <row r="122" spans="4:18" ht="13.2">
      <c r="D122" s="82"/>
      <c r="K122" s="116"/>
      <c r="L122" s="135"/>
      <c r="N122" s="135"/>
      <c r="P122" s="135"/>
      <c r="R122" s="135"/>
    </row>
    <row r="123" spans="4:18" ht="13.2">
      <c r="D123" s="82"/>
      <c r="K123" s="116"/>
      <c r="L123" s="135"/>
      <c r="N123" s="135"/>
      <c r="P123" s="135"/>
      <c r="R123" s="135"/>
    </row>
    <row r="124" spans="4:18" ht="13.2">
      <c r="D124" s="82"/>
      <c r="K124" s="116"/>
      <c r="L124" s="135"/>
      <c r="N124" s="135"/>
      <c r="P124" s="135"/>
      <c r="R124" s="135"/>
    </row>
    <row r="125" spans="4:18" ht="13.2">
      <c r="D125" s="82"/>
      <c r="K125" s="116"/>
      <c r="L125" s="135"/>
      <c r="N125" s="135"/>
      <c r="P125" s="135"/>
      <c r="R125" s="135"/>
    </row>
    <row r="126" spans="4:18" ht="13.2">
      <c r="D126" s="82"/>
      <c r="K126" s="116"/>
      <c r="L126" s="135"/>
      <c r="N126" s="135"/>
      <c r="P126" s="135"/>
      <c r="R126" s="135"/>
    </row>
    <row r="127" spans="4:18" ht="13.2">
      <c r="D127" s="82"/>
      <c r="K127" s="116"/>
      <c r="L127" s="135"/>
      <c r="N127" s="135"/>
      <c r="P127" s="135"/>
      <c r="R127" s="135"/>
    </row>
    <row r="128" spans="4:18" ht="13.2">
      <c r="D128" s="82"/>
      <c r="K128" s="116"/>
      <c r="L128" s="135"/>
      <c r="N128" s="135"/>
      <c r="P128" s="135"/>
      <c r="R128" s="135"/>
    </row>
    <row r="129" spans="4:18" ht="13.2">
      <c r="D129" s="82"/>
      <c r="K129" s="116"/>
      <c r="L129" s="135"/>
      <c r="N129" s="135"/>
      <c r="P129" s="135"/>
      <c r="R129" s="135"/>
    </row>
    <row r="130" spans="4:18" ht="13.2">
      <c r="D130" s="82"/>
      <c r="K130" s="116"/>
      <c r="L130" s="135"/>
      <c r="N130" s="135"/>
      <c r="P130" s="135"/>
      <c r="R130" s="135"/>
    </row>
    <row r="131" spans="4:18" ht="13.2">
      <c r="D131" s="82"/>
      <c r="K131" s="116"/>
      <c r="L131" s="135"/>
      <c r="N131" s="135"/>
      <c r="P131" s="135"/>
      <c r="R131" s="135"/>
    </row>
    <row r="132" spans="4:18" ht="13.2">
      <c r="D132" s="82"/>
      <c r="K132" s="116"/>
      <c r="L132" s="135"/>
      <c r="N132" s="135"/>
      <c r="P132" s="135"/>
      <c r="R132" s="135"/>
    </row>
    <row r="133" spans="4:18" ht="13.2">
      <c r="D133" s="82"/>
      <c r="K133" s="116"/>
      <c r="L133" s="135"/>
      <c r="N133" s="135"/>
      <c r="P133" s="135"/>
      <c r="R133" s="135"/>
    </row>
    <row r="134" spans="4:18" ht="13.2">
      <c r="D134" s="82"/>
      <c r="K134" s="116"/>
      <c r="L134" s="135"/>
      <c r="N134" s="135"/>
      <c r="P134" s="135"/>
      <c r="R134" s="135"/>
    </row>
    <row r="135" spans="4:18" ht="13.2">
      <c r="D135" s="82"/>
      <c r="K135" s="116"/>
      <c r="L135" s="135"/>
      <c r="N135" s="135"/>
      <c r="P135" s="135"/>
      <c r="R135" s="135"/>
    </row>
    <row r="136" spans="4:18" ht="13.2">
      <c r="D136" s="82"/>
      <c r="K136" s="116"/>
      <c r="L136" s="135"/>
      <c r="N136" s="135"/>
      <c r="P136" s="135"/>
      <c r="R136" s="135"/>
    </row>
    <row r="137" spans="4:18" ht="13.2">
      <c r="D137" s="82"/>
      <c r="K137" s="116"/>
      <c r="L137" s="135"/>
      <c r="N137" s="135"/>
      <c r="P137" s="135"/>
      <c r="R137" s="135"/>
    </row>
    <row r="138" spans="4:18" ht="13.2">
      <c r="D138" s="82"/>
      <c r="K138" s="116"/>
      <c r="L138" s="135"/>
      <c r="N138" s="135"/>
      <c r="P138" s="135"/>
      <c r="R138" s="135"/>
    </row>
    <row r="139" spans="4:18" ht="13.2">
      <c r="D139" s="82"/>
      <c r="K139" s="116"/>
      <c r="L139" s="135"/>
      <c r="N139" s="135"/>
      <c r="P139" s="135"/>
      <c r="R139" s="135"/>
    </row>
    <row r="140" spans="4:18" ht="13.2">
      <c r="D140" s="82"/>
      <c r="K140" s="116"/>
      <c r="L140" s="135"/>
      <c r="N140" s="135"/>
      <c r="P140" s="135"/>
      <c r="R140" s="135"/>
    </row>
    <row r="141" spans="4:18" ht="13.2">
      <c r="D141" s="82"/>
      <c r="K141" s="116"/>
      <c r="L141" s="135"/>
      <c r="N141" s="135"/>
      <c r="P141" s="135"/>
      <c r="R141" s="135"/>
    </row>
    <row r="142" spans="4:18" ht="13.2">
      <c r="D142" s="82"/>
      <c r="K142" s="116"/>
      <c r="L142" s="135"/>
      <c r="N142" s="135"/>
      <c r="P142" s="135"/>
      <c r="R142" s="135"/>
    </row>
    <row r="143" spans="4:18" ht="13.2">
      <c r="D143" s="82"/>
      <c r="K143" s="116"/>
      <c r="L143" s="135"/>
      <c r="N143" s="135"/>
      <c r="P143" s="135"/>
      <c r="R143" s="135"/>
    </row>
    <row r="144" spans="4:18" ht="13.2">
      <c r="D144" s="82"/>
      <c r="K144" s="116"/>
      <c r="L144" s="135"/>
      <c r="N144" s="135"/>
      <c r="P144" s="135"/>
      <c r="R144" s="135"/>
    </row>
    <row r="145" spans="4:18" ht="13.2">
      <c r="D145" s="82"/>
      <c r="K145" s="116"/>
      <c r="L145" s="135"/>
      <c r="N145" s="135"/>
      <c r="P145" s="135"/>
      <c r="R145" s="135"/>
    </row>
    <row r="146" spans="4:18" ht="13.2">
      <c r="D146" s="82"/>
      <c r="K146" s="116"/>
      <c r="L146" s="135"/>
      <c r="N146" s="135"/>
      <c r="P146" s="135"/>
      <c r="R146" s="135"/>
    </row>
    <row r="147" spans="4:18" ht="13.2">
      <c r="D147" s="82"/>
      <c r="K147" s="116"/>
      <c r="L147" s="135"/>
      <c r="N147" s="135"/>
      <c r="P147" s="135"/>
      <c r="R147" s="135"/>
    </row>
    <row r="148" spans="4:18" ht="13.2">
      <c r="D148" s="82"/>
      <c r="K148" s="116"/>
      <c r="L148" s="135"/>
      <c r="N148" s="135"/>
      <c r="P148" s="135"/>
      <c r="R148" s="135"/>
    </row>
    <row r="149" spans="4:18" ht="13.2">
      <c r="D149" s="82"/>
      <c r="K149" s="116"/>
      <c r="L149" s="135"/>
      <c r="N149" s="135"/>
      <c r="P149" s="135"/>
      <c r="R149" s="135"/>
    </row>
    <row r="150" spans="4:18" ht="13.2">
      <c r="D150" s="82"/>
      <c r="K150" s="116"/>
      <c r="L150" s="135"/>
      <c r="N150" s="135"/>
      <c r="P150" s="135"/>
      <c r="R150" s="135"/>
    </row>
    <row r="151" spans="4:18" ht="13.2">
      <c r="D151" s="82"/>
      <c r="K151" s="116"/>
      <c r="L151" s="135"/>
      <c r="N151" s="135"/>
      <c r="P151" s="135"/>
      <c r="R151" s="135"/>
    </row>
    <row r="152" spans="4:18" ht="13.2">
      <c r="D152" s="82"/>
      <c r="K152" s="116"/>
      <c r="L152" s="135"/>
      <c r="N152" s="135"/>
      <c r="P152" s="135"/>
      <c r="R152" s="135"/>
    </row>
    <row r="153" spans="4:18" ht="13.2">
      <c r="D153" s="82"/>
      <c r="K153" s="116"/>
      <c r="L153" s="135"/>
      <c r="N153" s="135"/>
      <c r="P153" s="135"/>
      <c r="R153" s="135"/>
    </row>
    <row r="154" spans="4:18" ht="13.2">
      <c r="D154" s="82"/>
      <c r="K154" s="116"/>
      <c r="L154" s="135"/>
      <c r="N154" s="135"/>
      <c r="P154" s="135"/>
      <c r="R154" s="135"/>
    </row>
    <row r="155" spans="4:18" ht="13.2">
      <c r="D155" s="82"/>
      <c r="K155" s="116"/>
      <c r="L155" s="135"/>
      <c r="N155" s="135"/>
      <c r="P155" s="135"/>
      <c r="R155" s="135"/>
    </row>
    <row r="156" spans="4:18" ht="13.2">
      <c r="D156" s="82"/>
      <c r="K156" s="116"/>
      <c r="L156" s="135"/>
      <c r="N156" s="135"/>
      <c r="P156" s="135"/>
      <c r="R156" s="135"/>
    </row>
    <row r="157" spans="4:18" ht="13.2">
      <c r="D157" s="82"/>
      <c r="K157" s="116"/>
      <c r="L157" s="135"/>
      <c r="N157" s="135"/>
      <c r="P157" s="135"/>
      <c r="R157" s="135"/>
    </row>
    <row r="158" spans="4:18" ht="13.2">
      <c r="D158" s="82"/>
      <c r="K158" s="116"/>
      <c r="L158" s="135"/>
      <c r="N158" s="135"/>
      <c r="P158" s="135"/>
      <c r="R158" s="135"/>
    </row>
    <row r="159" spans="4:18" ht="13.2">
      <c r="D159" s="82"/>
      <c r="K159" s="116"/>
      <c r="L159" s="135"/>
      <c r="N159" s="135"/>
      <c r="P159" s="135"/>
      <c r="R159" s="135"/>
    </row>
    <row r="160" spans="4:18" ht="13.2">
      <c r="D160" s="82"/>
      <c r="K160" s="116"/>
      <c r="L160" s="135"/>
      <c r="N160" s="135"/>
      <c r="P160" s="135"/>
      <c r="R160" s="135"/>
    </row>
    <row r="161" spans="4:18" ht="13.2">
      <c r="D161" s="82"/>
      <c r="K161" s="116"/>
      <c r="L161" s="135"/>
      <c r="N161" s="135"/>
      <c r="P161" s="135"/>
      <c r="R161" s="135"/>
    </row>
    <row r="162" spans="4:18" ht="13.2">
      <c r="D162" s="82"/>
      <c r="K162" s="116"/>
      <c r="L162" s="135"/>
      <c r="N162" s="135"/>
      <c r="P162" s="135"/>
      <c r="R162" s="135"/>
    </row>
    <row r="163" spans="4:18" ht="13.2">
      <c r="D163" s="82"/>
      <c r="K163" s="116"/>
      <c r="L163" s="135"/>
      <c r="N163" s="135"/>
      <c r="P163" s="135"/>
      <c r="R163" s="135"/>
    </row>
    <row r="164" spans="4:18" ht="13.2">
      <c r="D164" s="82"/>
      <c r="K164" s="116"/>
      <c r="L164" s="135"/>
      <c r="N164" s="135"/>
      <c r="P164" s="135"/>
      <c r="R164" s="135"/>
    </row>
    <row r="165" spans="4:18" ht="13.2">
      <c r="D165" s="82"/>
      <c r="K165" s="116"/>
      <c r="L165" s="135"/>
      <c r="N165" s="135"/>
      <c r="P165" s="135"/>
      <c r="R165" s="135"/>
    </row>
    <row r="166" spans="4:18" ht="13.2">
      <c r="D166" s="82"/>
      <c r="K166" s="116"/>
      <c r="L166" s="135"/>
      <c r="N166" s="135"/>
      <c r="P166" s="135"/>
      <c r="R166" s="135"/>
    </row>
    <row r="167" spans="4:18" ht="13.2">
      <c r="D167" s="82"/>
      <c r="K167" s="116"/>
      <c r="L167" s="135"/>
      <c r="N167" s="135"/>
      <c r="P167" s="135"/>
      <c r="R167" s="135"/>
    </row>
    <row r="168" spans="4:18" ht="13.2">
      <c r="D168" s="82"/>
      <c r="K168" s="116"/>
      <c r="L168" s="135"/>
      <c r="N168" s="135"/>
      <c r="P168" s="135"/>
      <c r="R168" s="135"/>
    </row>
    <row r="169" spans="4:18" ht="13.2">
      <c r="D169" s="82"/>
      <c r="K169" s="116"/>
      <c r="L169" s="135"/>
      <c r="N169" s="135"/>
      <c r="P169" s="135"/>
      <c r="R169" s="135"/>
    </row>
    <row r="170" spans="4:18" ht="13.2">
      <c r="D170" s="82"/>
      <c r="K170" s="116"/>
      <c r="L170" s="135"/>
      <c r="N170" s="135"/>
      <c r="P170" s="135"/>
      <c r="R170" s="135"/>
    </row>
    <row r="171" spans="4:18" ht="13.2">
      <c r="D171" s="82"/>
      <c r="K171" s="116"/>
      <c r="L171" s="135"/>
      <c r="N171" s="135"/>
      <c r="P171" s="135"/>
      <c r="R171" s="135"/>
    </row>
    <row r="172" spans="4:18" ht="13.2">
      <c r="D172" s="82"/>
      <c r="K172" s="116"/>
      <c r="L172" s="135"/>
      <c r="N172" s="135"/>
      <c r="P172" s="135"/>
      <c r="R172" s="135"/>
    </row>
    <row r="173" spans="4:18" ht="13.2">
      <c r="D173" s="82"/>
      <c r="K173" s="116"/>
      <c r="L173" s="135"/>
      <c r="N173" s="135"/>
      <c r="P173" s="135"/>
      <c r="R173" s="135"/>
    </row>
    <row r="174" spans="4:18" ht="13.2">
      <c r="D174" s="82"/>
      <c r="K174" s="116"/>
      <c r="L174" s="135"/>
      <c r="N174" s="135"/>
      <c r="P174" s="135"/>
      <c r="R174" s="135"/>
    </row>
    <row r="175" spans="4:18" ht="13.2">
      <c r="D175" s="82"/>
      <c r="K175" s="116"/>
      <c r="L175" s="135"/>
      <c r="N175" s="135"/>
      <c r="P175" s="135"/>
      <c r="R175" s="135"/>
    </row>
    <row r="176" spans="4:18" ht="13.2">
      <c r="D176" s="82"/>
      <c r="K176" s="116"/>
      <c r="L176" s="135"/>
      <c r="N176" s="135"/>
      <c r="P176" s="135"/>
      <c r="R176" s="135"/>
    </row>
    <row r="177" spans="4:18" ht="13.2">
      <c r="D177" s="82"/>
      <c r="K177" s="116"/>
      <c r="L177" s="135"/>
      <c r="N177" s="135"/>
      <c r="P177" s="135"/>
      <c r="R177" s="135"/>
    </row>
    <row r="178" spans="4:18" ht="13.2">
      <c r="D178" s="82"/>
      <c r="K178" s="116"/>
      <c r="L178" s="135"/>
      <c r="N178" s="135"/>
      <c r="P178" s="135"/>
      <c r="R178" s="135"/>
    </row>
    <row r="179" spans="4:18" ht="13.2">
      <c r="D179" s="82"/>
      <c r="K179" s="116"/>
      <c r="L179" s="135"/>
      <c r="N179" s="135"/>
      <c r="P179" s="135"/>
      <c r="R179" s="135"/>
    </row>
    <row r="180" spans="4:18" ht="13.2">
      <c r="D180" s="82"/>
      <c r="K180" s="116"/>
      <c r="L180" s="135"/>
      <c r="N180" s="135"/>
      <c r="P180" s="135"/>
      <c r="R180" s="135"/>
    </row>
    <row r="181" spans="4:18" ht="13.2">
      <c r="D181" s="82"/>
      <c r="K181" s="116"/>
      <c r="L181" s="135"/>
      <c r="N181" s="135"/>
      <c r="P181" s="135"/>
      <c r="R181" s="135"/>
    </row>
    <row r="182" spans="4:18" ht="13.2">
      <c r="D182" s="82"/>
      <c r="K182" s="116"/>
      <c r="L182" s="135"/>
      <c r="N182" s="135"/>
      <c r="P182" s="135"/>
      <c r="R182" s="135"/>
    </row>
    <row r="183" spans="4:18" ht="13.2">
      <c r="D183" s="82"/>
      <c r="K183" s="116"/>
      <c r="L183" s="135"/>
      <c r="N183" s="135"/>
      <c r="P183" s="135"/>
      <c r="R183" s="135"/>
    </row>
    <row r="184" spans="4:18" ht="13.2">
      <c r="D184" s="82"/>
      <c r="K184" s="116"/>
      <c r="L184" s="135"/>
      <c r="N184" s="135"/>
      <c r="P184" s="135"/>
      <c r="R184" s="135"/>
    </row>
    <row r="185" spans="4:18" ht="13.2">
      <c r="D185" s="82"/>
      <c r="K185" s="116"/>
      <c r="L185" s="135"/>
      <c r="N185" s="135"/>
      <c r="P185" s="135"/>
      <c r="R185" s="135"/>
    </row>
    <row r="186" spans="4:18" ht="13.2">
      <c r="D186" s="82"/>
      <c r="K186" s="116"/>
      <c r="L186" s="135"/>
      <c r="N186" s="135"/>
      <c r="P186" s="135"/>
      <c r="R186" s="135"/>
    </row>
    <row r="187" spans="4:18" ht="13.2">
      <c r="D187" s="82"/>
      <c r="K187" s="116"/>
      <c r="L187" s="135"/>
      <c r="N187" s="135"/>
      <c r="P187" s="135"/>
      <c r="R187" s="135"/>
    </row>
    <row r="188" spans="4:18" ht="13.2">
      <c r="D188" s="82"/>
      <c r="K188" s="116"/>
      <c r="L188" s="135"/>
      <c r="N188" s="135"/>
      <c r="P188" s="135"/>
      <c r="R188" s="135"/>
    </row>
    <row r="189" spans="4:18" ht="13.2">
      <c r="D189" s="82"/>
      <c r="K189" s="116"/>
      <c r="L189" s="135"/>
      <c r="N189" s="135"/>
      <c r="P189" s="135"/>
      <c r="R189" s="135"/>
    </row>
    <row r="190" spans="4:18" ht="13.2">
      <c r="D190" s="82"/>
      <c r="K190" s="116"/>
      <c r="L190" s="135"/>
      <c r="N190" s="135"/>
      <c r="P190" s="135"/>
      <c r="R190" s="135"/>
    </row>
    <row r="191" spans="4:18" ht="13.2">
      <c r="D191" s="82"/>
      <c r="K191" s="116"/>
      <c r="L191" s="135"/>
      <c r="N191" s="135"/>
      <c r="P191" s="135"/>
      <c r="R191" s="135"/>
    </row>
    <row r="192" spans="4:18" ht="13.2">
      <c r="D192" s="82"/>
      <c r="K192" s="116"/>
      <c r="L192" s="135"/>
      <c r="N192" s="135"/>
      <c r="P192" s="135"/>
      <c r="R192" s="135"/>
    </row>
    <row r="193" spans="4:18" ht="13.2">
      <c r="D193" s="82"/>
      <c r="K193" s="116"/>
      <c r="L193" s="135"/>
      <c r="N193" s="135"/>
      <c r="P193" s="135"/>
      <c r="R193" s="135"/>
    </row>
    <row r="194" spans="4:18" ht="13.2">
      <c r="D194" s="82"/>
      <c r="K194" s="116"/>
      <c r="L194" s="135"/>
      <c r="N194" s="135"/>
      <c r="P194" s="135"/>
      <c r="R194" s="135"/>
    </row>
    <row r="195" spans="4:18" ht="13.2">
      <c r="D195" s="82"/>
      <c r="K195" s="116"/>
      <c r="L195" s="135"/>
      <c r="N195" s="135"/>
      <c r="P195" s="135"/>
      <c r="R195" s="135"/>
    </row>
    <row r="196" spans="4:18" ht="13.2">
      <c r="D196" s="82"/>
      <c r="K196" s="116"/>
      <c r="L196" s="135"/>
      <c r="N196" s="135"/>
      <c r="P196" s="135"/>
      <c r="R196" s="135"/>
    </row>
    <row r="197" spans="4:18" ht="13.2">
      <c r="D197" s="82"/>
      <c r="K197" s="116"/>
      <c r="L197" s="135"/>
      <c r="N197" s="135"/>
      <c r="P197" s="135"/>
      <c r="R197" s="135"/>
    </row>
    <row r="198" spans="4:18" ht="13.2">
      <c r="D198" s="82"/>
      <c r="K198" s="116"/>
      <c r="L198" s="135"/>
      <c r="N198" s="135"/>
      <c r="P198" s="135"/>
      <c r="R198" s="135"/>
    </row>
    <row r="199" spans="4:18" ht="13.2">
      <c r="D199" s="82"/>
      <c r="K199" s="116"/>
      <c r="L199" s="135"/>
      <c r="N199" s="135"/>
      <c r="P199" s="135"/>
      <c r="R199" s="135"/>
    </row>
    <row r="200" spans="4:18" ht="13.2">
      <c r="D200" s="82"/>
      <c r="K200" s="116"/>
      <c r="L200" s="135"/>
      <c r="N200" s="135"/>
      <c r="P200" s="135"/>
      <c r="R200" s="135"/>
    </row>
    <row r="201" spans="4:18" ht="13.2">
      <c r="D201" s="82"/>
      <c r="K201" s="116"/>
      <c r="L201" s="135"/>
      <c r="N201" s="135"/>
      <c r="P201" s="135"/>
      <c r="R201" s="135"/>
    </row>
    <row r="202" spans="4:18" ht="13.2">
      <c r="D202" s="82"/>
      <c r="K202" s="116"/>
      <c r="L202" s="135"/>
      <c r="N202" s="135"/>
      <c r="P202" s="135"/>
      <c r="R202" s="135"/>
    </row>
    <row r="203" spans="4:18" ht="13.2">
      <c r="D203" s="82"/>
      <c r="K203" s="116"/>
      <c r="L203" s="135"/>
      <c r="N203" s="135"/>
      <c r="P203" s="135"/>
      <c r="R203" s="135"/>
    </row>
    <row r="204" spans="4:18" ht="13.2">
      <c r="D204" s="82"/>
      <c r="K204" s="116"/>
      <c r="L204" s="135"/>
      <c r="N204" s="135"/>
      <c r="P204" s="135"/>
      <c r="R204" s="135"/>
    </row>
    <row r="205" spans="4:18" ht="13.2">
      <c r="D205" s="82"/>
      <c r="K205" s="116"/>
      <c r="L205" s="135"/>
      <c r="N205" s="135"/>
      <c r="P205" s="135"/>
      <c r="R205" s="135"/>
    </row>
    <row r="206" spans="4:18" ht="13.2">
      <c r="D206" s="82"/>
      <c r="K206" s="116"/>
      <c r="L206" s="135"/>
      <c r="N206" s="135"/>
      <c r="P206" s="135"/>
      <c r="R206" s="135"/>
    </row>
    <row r="207" spans="4:18" ht="13.2">
      <c r="D207" s="82"/>
      <c r="K207" s="116"/>
      <c r="L207" s="135"/>
      <c r="N207" s="135"/>
      <c r="P207" s="135"/>
      <c r="R207" s="135"/>
    </row>
    <row r="208" spans="4:18" ht="13.2">
      <c r="D208" s="82"/>
      <c r="K208" s="116"/>
      <c r="L208" s="135"/>
      <c r="N208" s="135"/>
      <c r="P208" s="135"/>
      <c r="R208" s="135"/>
    </row>
    <row r="209" spans="4:18" ht="13.2">
      <c r="D209" s="82"/>
      <c r="K209" s="116"/>
      <c r="L209" s="135"/>
      <c r="N209" s="135"/>
      <c r="P209" s="135"/>
      <c r="R209" s="135"/>
    </row>
    <row r="210" spans="4:18" ht="13.2">
      <c r="D210" s="82"/>
      <c r="K210" s="116"/>
      <c r="L210" s="135"/>
      <c r="N210" s="135"/>
      <c r="P210" s="135"/>
      <c r="R210" s="135"/>
    </row>
    <row r="211" spans="4:18" ht="13.2">
      <c r="D211" s="82"/>
      <c r="K211" s="116"/>
      <c r="L211" s="135"/>
      <c r="N211" s="135"/>
      <c r="P211" s="135"/>
      <c r="R211" s="135"/>
    </row>
    <row r="212" spans="4:18" ht="13.2">
      <c r="D212" s="82"/>
      <c r="K212" s="116"/>
      <c r="L212" s="135"/>
      <c r="N212" s="135"/>
      <c r="P212" s="135"/>
      <c r="R212" s="135"/>
    </row>
    <row r="213" spans="4:18" ht="13.2">
      <c r="D213" s="82"/>
      <c r="K213" s="116"/>
      <c r="L213" s="135"/>
      <c r="N213" s="135"/>
      <c r="P213" s="135"/>
      <c r="R213" s="135"/>
    </row>
    <row r="214" spans="4:18" ht="13.2">
      <c r="D214" s="82"/>
      <c r="K214" s="116"/>
      <c r="L214" s="135"/>
      <c r="N214" s="135"/>
      <c r="P214" s="135"/>
      <c r="R214" s="135"/>
    </row>
    <row r="215" spans="4:18" ht="13.2">
      <c r="D215" s="82"/>
      <c r="K215" s="116"/>
      <c r="L215" s="135"/>
      <c r="N215" s="135"/>
      <c r="P215" s="135"/>
      <c r="R215" s="135"/>
    </row>
    <row r="216" spans="4:18" ht="13.2">
      <c r="D216" s="82"/>
      <c r="K216" s="116"/>
      <c r="L216" s="135"/>
      <c r="N216" s="135"/>
      <c r="P216" s="135"/>
      <c r="R216" s="135"/>
    </row>
    <row r="217" spans="4:18" ht="13.2">
      <c r="D217" s="82"/>
      <c r="K217" s="116"/>
      <c r="L217" s="135"/>
      <c r="N217" s="135"/>
      <c r="P217" s="135"/>
      <c r="R217" s="135"/>
    </row>
    <row r="218" spans="4:18" ht="13.2">
      <c r="D218" s="82"/>
      <c r="K218" s="116"/>
      <c r="L218" s="135"/>
      <c r="N218" s="135"/>
      <c r="P218" s="135"/>
      <c r="R218" s="135"/>
    </row>
    <row r="219" spans="4:18" ht="13.2">
      <c r="D219" s="82"/>
      <c r="K219" s="116"/>
      <c r="L219" s="135"/>
      <c r="N219" s="135"/>
      <c r="P219" s="135"/>
      <c r="R219" s="135"/>
    </row>
    <row r="220" spans="4:18" ht="13.2">
      <c r="D220" s="82"/>
      <c r="K220" s="116"/>
      <c r="L220" s="135"/>
      <c r="N220" s="135"/>
      <c r="P220" s="135"/>
      <c r="R220" s="135"/>
    </row>
    <row r="221" spans="4:18" ht="13.2">
      <c r="D221" s="82"/>
      <c r="K221" s="116"/>
      <c r="L221" s="135"/>
      <c r="N221" s="135"/>
      <c r="P221" s="135"/>
      <c r="R221" s="135"/>
    </row>
    <row r="222" spans="4:18" ht="13.2">
      <c r="D222" s="82"/>
      <c r="K222" s="116"/>
      <c r="L222" s="135"/>
      <c r="N222" s="135"/>
      <c r="P222" s="135"/>
      <c r="R222" s="135"/>
    </row>
    <row r="223" spans="4:18" ht="13.2">
      <c r="D223" s="82"/>
      <c r="K223" s="116"/>
      <c r="L223" s="135"/>
      <c r="N223" s="135"/>
      <c r="P223" s="135"/>
      <c r="R223" s="135"/>
    </row>
    <row r="224" spans="4:18" ht="13.2">
      <c r="D224" s="82"/>
      <c r="K224" s="116"/>
      <c r="L224" s="135"/>
      <c r="N224" s="135"/>
      <c r="P224" s="135"/>
      <c r="R224" s="135"/>
    </row>
    <row r="225" spans="4:18" ht="13.2">
      <c r="D225" s="82"/>
      <c r="K225" s="116"/>
      <c r="L225" s="135"/>
      <c r="N225" s="135"/>
      <c r="P225" s="135"/>
      <c r="R225" s="135"/>
    </row>
    <row r="226" spans="4:18" ht="13.2">
      <c r="D226" s="82"/>
      <c r="K226" s="116"/>
      <c r="L226" s="135"/>
      <c r="N226" s="135"/>
      <c r="P226" s="135"/>
      <c r="R226" s="135"/>
    </row>
    <row r="227" spans="4:18" ht="13.2">
      <c r="D227" s="82"/>
      <c r="K227" s="116"/>
      <c r="L227" s="135"/>
      <c r="N227" s="135"/>
      <c r="P227" s="135"/>
      <c r="R227" s="135"/>
    </row>
    <row r="228" spans="4:18" ht="13.2">
      <c r="D228" s="82"/>
      <c r="K228" s="116"/>
      <c r="L228" s="135"/>
      <c r="N228" s="135"/>
      <c r="P228" s="135"/>
      <c r="R228" s="135"/>
    </row>
    <row r="229" spans="4:18" ht="13.2">
      <c r="D229" s="82"/>
      <c r="K229" s="116"/>
      <c r="L229" s="135"/>
      <c r="N229" s="135"/>
      <c r="P229" s="135"/>
      <c r="R229" s="135"/>
    </row>
    <row r="230" spans="4:18" ht="13.2">
      <c r="D230" s="82"/>
      <c r="K230" s="116"/>
      <c r="L230" s="135"/>
      <c r="N230" s="135"/>
      <c r="P230" s="135"/>
      <c r="R230" s="135"/>
    </row>
    <row r="231" spans="4:18" ht="13.2">
      <c r="D231" s="82"/>
      <c r="K231" s="116"/>
      <c r="L231" s="135"/>
      <c r="N231" s="135"/>
      <c r="P231" s="135"/>
      <c r="R231" s="135"/>
    </row>
    <row r="232" spans="4:18" ht="13.2">
      <c r="D232" s="82"/>
      <c r="K232" s="116"/>
      <c r="L232" s="135"/>
      <c r="N232" s="135"/>
      <c r="P232" s="135"/>
      <c r="R232" s="135"/>
    </row>
    <row r="233" spans="4:18" ht="13.2">
      <c r="D233" s="82"/>
      <c r="K233" s="116"/>
      <c r="L233" s="135"/>
      <c r="N233" s="135"/>
      <c r="P233" s="135"/>
      <c r="R233" s="135"/>
    </row>
    <row r="234" spans="4:18" ht="13.2">
      <c r="D234" s="82"/>
      <c r="K234" s="116"/>
      <c r="L234" s="135"/>
      <c r="N234" s="135"/>
      <c r="P234" s="135"/>
      <c r="R234" s="135"/>
    </row>
    <row r="235" spans="4:18" ht="13.2">
      <c r="D235" s="82"/>
      <c r="K235" s="116"/>
      <c r="L235" s="135"/>
      <c r="N235" s="135"/>
      <c r="P235" s="135"/>
      <c r="R235" s="135"/>
    </row>
    <row r="236" spans="4:18" ht="13.2">
      <c r="D236" s="82"/>
      <c r="K236" s="116"/>
      <c r="L236" s="135"/>
      <c r="N236" s="135"/>
      <c r="P236" s="135"/>
      <c r="R236" s="135"/>
    </row>
    <row r="237" spans="4:18" ht="13.2">
      <c r="D237" s="82"/>
      <c r="K237" s="116"/>
      <c r="L237" s="135"/>
      <c r="N237" s="135"/>
      <c r="P237" s="135"/>
      <c r="R237" s="135"/>
    </row>
    <row r="238" spans="4:18" ht="13.2">
      <c r="D238" s="82"/>
      <c r="K238" s="116"/>
      <c r="L238" s="135"/>
      <c r="N238" s="135"/>
      <c r="P238" s="135"/>
      <c r="R238" s="135"/>
    </row>
    <row r="239" spans="4:18" ht="13.2">
      <c r="D239" s="82"/>
      <c r="K239" s="116"/>
      <c r="L239" s="135"/>
      <c r="N239" s="135"/>
      <c r="P239" s="135"/>
      <c r="R239" s="135"/>
    </row>
    <row r="240" spans="4:18" ht="13.2">
      <c r="D240" s="82"/>
      <c r="K240" s="116"/>
      <c r="L240" s="135"/>
      <c r="N240" s="135"/>
      <c r="P240" s="135"/>
      <c r="R240" s="135"/>
    </row>
    <row r="241" spans="4:18" ht="13.2">
      <c r="D241" s="82"/>
      <c r="K241" s="116"/>
      <c r="L241" s="135"/>
      <c r="N241" s="135"/>
      <c r="P241" s="135"/>
      <c r="R241" s="135"/>
    </row>
    <row r="242" spans="4:18" ht="13.2">
      <c r="D242" s="82"/>
      <c r="K242" s="116"/>
      <c r="L242" s="135"/>
      <c r="N242" s="135"/>
      <c r="P242" s="135"/>
      <c r="R242" s="135"/>
    </row>
    <row r="243" spans="4:18" ht="13.2">
      <c r="D243" s="82"/>
      <c r="K243" s="116"/>
      <c r="L243" s="135"/>
      <c r="N243" s="135"/>
      <c r="P243" s="135"/>
      <c r="R243" s="135"/>
    </row>
    <row r="244" spans="4:18" ht="13.2">
      <c r="D244" s="82"/>
      <c r="K244" s="116"/>
      <c r="L244" s="135"/>
      <c r="N244" s="135"/>
      <c r="P244" s="135"/>
      <c r="R244" s="135"/>
    </row>
    <row r="245" spans="4:18" ht="13.2">
      <c r="D245" s="82"/>
      <c r="K245" s="116"/>
      <c r="L245" s="135"/>
      <c r="N245" s="135"/>
      <c r="P245" s="135"/>
      <c r="R245" s="135"/>
    </row>
    <row r="246" spans="4:18" ht="13.2">
      <c r="D246" s="82"/>
      <c r="K246" s="116"/>
      <c r="L246" s="135"/>
      <c r="N246" s="135"/>
      <c r="P246" s="135"/>
      <c r="R246" s="135"/>
    </row>
    <row r="247" spans="4:18" ht="13.2">
      <c r="D247" s="82"/>
      <c r="K247" s="116"/>
      <c r="L247" s="135"/>
      <c r="N247" s="135"/>
      <c r="P247" s="135"/>
      <c r="R247" s="135"/>
    </row>
    <row r="248" spans="4:18" ht="13.2">
      <c r="D248" s="82"/>
      <c r="K248" s="116"/>
      <c r="L248" s="135"/>
      <c r="N248" s="135"/>
      <c r="P248" s="135"/>
      <c r="R248" s="135"/>
    </row>
    <row r="249" spans="4:18" ht="13.2">
      <c r="D249" s="82"/>
      <c r="K249" s="116"/>
      <c r="L249" s="135"/>
      <c r="N249" s="135"/>
      <c r="P249" s="135"/>
      <c r="R249" s="135"/>
    </row>
    <row r="250" spans="4:18" ht="13.2">
      <c r="D250" s="82"/>
      <c r="K250" s="116"/>
      <c r="L250" s="135"/>
      <c r="N250" s="135"/>
      <c r="P250" s="135"/>
      <c r="R250" s="135"/>
    </row>
    <row r="251" spans="4:18" ht="13.2">
      <c r="D251" s="82"/>
      <c r="K251" s="116"/>
      <c r="L251" s="135"/>
      <c r="N251" s="135"/>
      <c r="P251" s="135"/>
      <c r="R251" s="135"/>
    </row>
    <row r="252" spans="4:18" ht="13.2">
      <c r="D252" s="82"/>
      <c r="K252" s="116"/>
      <c r="L252" s="135"/>
      <c r="N252" s="135"/>
      <c r="P252" s="135"/>
      <c r="R252" s="135"/>
    </row>
    <row r="253" spans="4:18" ht="13.2">
      <c r="D253" s="82"/>
      <c r="K253" s="116"/>
      <c r="L253" s="135"/>
      <c r="N253" s="135"/>
      <c r="P253" s="135"/>
      <c r="R253" s="135"/>
    </row>
    <row r="254" spans="4:18" ht="13.2">
      <c r="D254" s="82"/>
      <c r="K254" s="116"/>
      <c r="L254" s="135"/>
      <c r="N254" s="135"/>
      <c r="P254" s="135"/>
      <c r="R254" s="135"/>
    </row>
    <row r="255" spans="4:18" ht="13.2">
      <c r="D255" s="82"/>
      <c r="K255" s="116"/>
      <c r="L255" s="135"/>
      <c r="N255" s="135"/>
      <c r="P255" s="135"/>
      <c r="R255" s="135"/>
    </row>
    <row r="256" spans="4:18" ht="13.2">
      <c r="D256" s="82"/>
      <c r="K256" s="116"/>
      <c r="L256" s="135"/>
      <c r="N256" s="135"/>
      <c r="P256" s="135"/>
      <c r="R256" s="135"/>
    </row>
    <row r="257" spans="4:18" ht="13.2">
      <c r="D257" s="82"/>
      <c r="K257" s="116"/>
      <c r="L257" s="135"/>
      <c r="N257" s="135"/>
      <c r="P257" s="135"/>
      <c r="R257" s="135"/>
    </row>
    <row r="258" spans="4:18" ht="13.2">
      <c r="D258" s="82"/>
      <c r="K258" s="116"/>
      <c r="L258" s="135"/>
      <c r="N258" s="135"/>
      <c r="P258" s="135"/>
      <c r="R258" s="135"/>
    </row>
    <row r="259" spans="4:18" ht="13.2">
      <c r="D259" s="82"/>
      <c r="K259" s="116"/>
      <c r="L259" s="135"/>
      <c r="N259" s="135"/>
      <c r="P259" s="135"/>
      <c r="R259" s="135"/>
    </row>
    <row r="260" spans="4:18" ht="13.2">
      <c r="D260" s="82"/>
      <c r="K260" s="116"/>
      <c r="L260" s="135"/>
      <c r="N260" s="135"/>
      <c r="P260" s="135"/>
      <c r="R260" s="135"/>
    </row>
    <row r="261" spans="4:18" ht="13.2">
      <c r="D261" s="82"/>
      <c r="K261" s="116"/>
      <c r="L261" s="135"/>
      <c r="N261" s="135"/>
      <c r="P261" s="135"/>
      <c r="R261" s="135"/>
    </row>
    <row r="262" spans="4:18" ht="13.2">
      <c r="D262" s="82"/>
      <c r="K262" s="116"/>
      <c r="L262" s="135"/>
      <c r="N262" s="135"/>
      <c r="P262" s="135"/>
      <c r="R262" s="135"/>
    </row>
    <row r="263" spans="4:18" ht="13.2">
      <c r="D263" s="82"/>
      <c r="K263" s="116"/>
      <c r="L263" s="135"/>
      <c r="N263" s="135"/>
      <c r="P263" s="135"/>
      <c r="R263" s="135"/>
    </row>
    <row r="264" spans="4:18" ht="13.2">
      <c r="D264" s="82"/>
      <c r="K264" s="116"/>
      <c r="L264" s="135"/>
      <c r="N264" s="135"/>
      <c r="P264" s="135"/>
      <c r="R264" s="135"/>
    </row>
    <row r="265" spans="4:18" ht="13.2">
      <c r="D265" s="82"/>
      <c r="K265" s="116"/>
      <c r="L265" s="135"/>
      <c r="N265" s="135"/>
      <c r="P265" s="135"/>
      <c r="R265" s="135"/>
    </row>
    <row r="266" spans="4:18" ht="13.2">
      <c r="D266" s="82"/>
      <c r="K266" s="116"/>
      <c r="L266" s="135"/>
      <c r="N266" s="135"/>
      <c r="P266" s="135"/>
      <c r="R266" s="135"/>
    </row>
    <row r="267" spans="4:18" ht="13.2">
      <c r="D267" s="82"/>
      <c r="K267" s="116"/>
      <c r="L267" s="135"/>
      <c r="N267" s="135"/>
      <c r="P267" s="135"/>
      <c r="R267" s="135"/>
    </row>
    <row r="268" spans="4:18" ht="13.2">
      <c r="D268" s="82"/>
      <c r="K268" s="116"/>
      <c r="L268" s="135"/>
      <c r="N268" s="135"/>
      <c r="P268" s="135"/>
      <c r="R268" s="135"/>
    </row>
    <row r="269" spans="4:18" ht="13.2">
      <c r="D269" s="82"/>
      <c r="K269" s="116"/>
      <c r="L269" s="135"/>
      <c r="N269" s="135"/>
      <c r="P269" s="135"/>
      <c r="R269" s="135"/>
    </row>
    <row r="270" spans="4:18" ht="13.2">
      <c r="D270" s="82"/>
      <c r="K270" s="116"/>
      <c r="L270" s="135"/>
      <c r="N270" s="135"/>
      <c r="P270" s="135"/>
      <c r="R270" s="135"/>
    </row>
    <row r="271" spans="4:18" ht="13.2">
      <c r="D271" s="82"/>
      <c r="K271" s="116"/>
      <c r="L271" s="135"/>
      <c r="N271" s="135"/>
      <c r="P271" s="135"/>
      <c r="R271" s="135"/>
    </row>
    <row r="272" spans="4:18" ht="13.2">
      <c r="D272" s="82"/>
      <c r="K272" s="116"/>
      <c r="L272" s="135"/>
      <c r="N272" s="135"/>
      <c r="P272" s="135"/>
      <c r="R272" s="135"/>
    </row>
    <row r="273" spans="4:18" ht="13.2">
      <c r="D273" s="82"/>
      <c r="K273" s="116"/>
      <c r="L273" s="135"/>
      <c r="N273" s="135"/>
      <c r="P273" s="135"/>
      <c r="R273" s="135"/>
    </row>
    <row r="274" spans="4:18" ht="13.2">
      <c r="D274" s="82"/>
      <c r="K274" s="116"/>
      <c r="L274" s="135"/>
      <c r="N274" s="135"/>
      <c r="P274" s="135"/>
      <c r="R274" s="135"/>
    </row>
    <row r="275" spans="4:18" ht="13.2">
      <c r="D275" s="82"/>
      <c r="K275" s="116"/>
      <c r="L275" s="135"/>
      <c r="N275" s="135"/>
      <c r="P275" s="135"/>
      <c r="R275" s="135"/>
    </row>
    <row r="276" spans="4:18" ht="13.2">
      <c r="D276" s="82"/>
      <c r="K276" s="116"/>
      <c r="L276" s="135"/>
      <c r="N276" s="135"/>
      <c r="P276" s="135"/>
      <c r="R276" s="135"/>
    </row>
    <row r="277" spans="4:18" ht="13.2">
      <c r="D277" s="82"/>
      <c r="K277" s="116"/>
      <c r="L277" s="135"/>
      <c r="N277" s="135"/>
      <c r="P277" s="135"/>
      <c r="R277" s="135"/>
    </row>
    <row r="278" spans="4:18" ht="13.2">
      <c r="D278" s="82"/>
      <c r="K278" s="116"/>
      <c r="L278" s="135"/>
      <c r="N278" s="135"/>
      <c r="P278" s="135"/>
      <c r="R278" s="135"/>
    </row>
    <row r="279" spans="4:18" ht="13.2">
      <c r="D279" s="82"/>
      <c r="K279" s="116"/>
      <c r="L279" s="135"/>
      <c r="N279" s="135"/>
      <c r="P279" s="135"/>
      <c r="R279" s="135"/>
    </row>
    <row r="280" spans="4:18" ht="13.2">
      <c r="D280" s="82"/>
      <c r="K280" s="116"/>
      <c r="L280" s="135"/>
      <c r="N280" s="135"/>
      <c r="P280" s="135"/>
      <c r="R280" s="135"/>
    </row>
    <row r="281" spans="4:18" ht="13.2">
      <c r="D281" s="82"/>
      <c r="K281" s="116"/>
      <c r="L281" s="135"/>
      <c r="N281" s="135"/>
      <c r="P281" s="135"/>
      <c r="R281" s="135"/>
    </row>
    <row r="282" spans="4:18" ht="13.2">
      <c r="D282" s="82"/>
      <c r="K282" s="116"/>
      <c r="L282" s="135"/>
      <c r="N282" s="135"/>
      <c r="P282" s="135"/>
      <c r="R282" s="135"/>
    </row>
    <row r="283" spans="4:18" ht="13.2">
      <c r="D283" s="82"/>
      <c r="K283" s="116"/>
      <c r="L283" s="135"/>
      <c r="N283" s="135"/>
      <c r="P283" s="135"/>
      <c r="R283" s="135"/>
    </row>
    <row r="284" spans="4:18" ht="13.2">
      <c r="D284" s="82"/>
      <c r="K284" s="116"/>
      <c r="L284" s="135"/>
      <c r="N284" s="135"/>
      <c r="P284" s="135"/>
      <c r="R284" s="135"/>
    </row>
    <row r="285" spans="4:18" ht="13.2">
      <c r="D285" s="82"/>
      <c r="K285" s="116"/>
      <c r="L285" s="135"/>
      <c r="N285" s="135"/>
      <c r="P285" s="135"/>
      <c r="R285" s="135"/>
    </row>
    <row r="286" spans="4:18" ht="13.2">
      <c r="D286" s="82"/>
      <c r="K286" s="116"/>
      <c r="L286" s="135"/>
      <c r="N286" s="135"/>
      <c r="P286" s="135"/>
      <c r="R286" s="135"/>
    </row>
    <row r="287" spans="4:18" ht="13.2">
      <c r="D287" s="82"/>
      <c r="K287" s="116"/>
      <c r="L287" s="135"/>
      <c r="N287" s="135"/>
      <c r="P287" s="135"/>
      <c r="R287" s="135"/>
    </row>
    <row r="288" spans="4:18" ht="13.2">
      <c r="D288" s="82"/>
      <c r="K288" s="116"/>
      <c r="L288" s="135"/>
      <c r="N288" s="135"/>
      <c r="P288" s="135"/>
      <c r="R288" s="135"/>
    </row>
    <row r="289" spans="4:18" ht="13.2">
      <c r="D289" s="82"/>
      <c r="K289" s="116"/>
      <c r="L289" s="135"/>
      <c r="N289" s="135"/>
      <c r="P289" s="135"/>
      <c r="R289" s="135"/>
    </row>
    <row r="290" spans="4:18" ht="13.2">
      <c r="D290" s="82"/>
      <c r="K290" s="116"/>
      <c r="L290" s="135"/>
      <c r="N290" s="135"/>
      <c r="P290" s="135"/>
      <c r="R290" s="135"/>
    </row>
    <row r="291" spans="4:18" ht="13.2">
      <c r="D291" s="82"/>
      <c r="K291" s="116"/>
      <c r="L291" s="135"/>
      <c r="N291" s="135"/>
      <c r="P291" s="135"/>
      <c r="R291" s="135"/>
    </row>
    <row r="292" spans="4:18" ht="13.2">
      <c r="D292" s="82"/>
      <c r="K292" s="116"/>
      <c r="L292" s="135"/>
      <c r="N292" s="135"/>
      <c r="P292" s="135"/>
      <c r="R292" s="135"/>
    </row>
    <row r="293" spans="4:18" ht="13.2">
      <c r="D293" s="82"/>
      <c r="K293" s="116"/>
      <c r="L293" s="135"/>
      <c r="N293" s="135"/>
      <c r="P293" s="135"/>
      <c r="R293" s="135"/>
    </row>
    <row r="294" spans="4:18" ht="13.2">
      <c r="D294" s="82"/>
      <c r="K294" s="116"/>
      <c r="L294" s="135"/>
      <c r="N294" s="135"/>
      <c r="P294" s="135"/>
      <c r="R294" s="135"/>
    </row>
    <row r="295" spans="4:18" ht="13.2">
      <c r="D295" s="82"/>
      <c r="K295" s="116"/>
      <c r="L295" s="135"/>
      <c r="N295" s="135"/>
      <c r="P295" s="135"/>
      <c r="R295" s="135"/>
    </row>
    <row r="296" spans="4:18" ht="13.2">
      <c r="D296" s="82"/>
      <c r="K296" s="116"/>
      <c r="L296" s="135"/>
      <c r="N296" s="135"/>
      <c r="P296" s="135"/>
      <c r="R296" s="135"/>
    </row>
    <row r="297" spans="4:18" ht="13.2">
      <c r="D297" s="82"/>
      <c r="K297" s="116"/>
      <c r="L297" s="135"/>
      <c r="N297" s="135"/>
      <c r="P297" s="135"/>
      <c r="R297" s="135"/>
    </row>
    <row r="298" spans="4:18" ht="13.2">
      <c r="D298" s="82"/>
      <c r="K298" s="116"/>
      <c r="L298" s="135"/>
      <c r="N298" s="135"/>
      <c r="P298" s="135"/>
      <c r="R298" s="135"/>
    </row>
    <row r="299" spans="4:18" ht="13.2">
      <c r="D299" s="82"/>
      <c r="K299" s="116"/>
      <c r="L299" s="135"/>
      <c r="N299" s="135"/>
      <c r="P299" s="135"/>
      <c r="R299" s="135"/>
    </row>
    <row r="300" spans="4:18" ht="13.2">
      <c r="D300" s="82"/>
      <c r="K300" s="116"/>
      <c r="L300" s="135"/>
      <c r="N300" s="135"/>
      <c r="P300" s="135"/>
      <c r="R300" s="135"/>
    </row>
    <row r="301" spans="4:18" ht="13.2">
      <c r="D301" s="82"/>
      <c r="K301" s="116"/>
      <c r="L301" s="135"/>
      <c r="N301" s="135"/>
      <c r="P301" s="135"/>
      <c r="R301" s="135"/>
    </row>
    <row r="302" spans="4:18" ht="13.2">
      <c r="D302" s="82"/>
      <c r="K302" s="116"/>
      <c r="L302" s="135"/>
      <c r="N302" s="135"/>
      <c r="P302" s="135"/>
      <c r="R302" s="135"/>
    </row>
    <row r="303" spans="4:18" ht="13.2">
      <c r="D303" s="82"/>
      <c r="K303" s="116"/>
      <c r="L303" s="135"/>
      <c r="N303" s="135"/>
      <c r="P303" s="135"/>
      <c r="R303" s="135"/>
    </row>
    <row r="304" spans="4:18" ht="13.2">
      <c r="D304" s="82"/>
      <c r="K304" s="116"/>
      <c r="L304" s="135"/>
      <c r="N304" s="135"/>
      <c r="P304" s="135"/>
      <c r="R304" s="135"/>
    </row>
    <row r="305" spans="4:18" ht="13.2">
      <c r="D305" s="82"/>
      <c r="K305" s="116"/>
      <c r="L305" s="135"/>
      <c r="N305" s="135"/>
      <c r="P305" s="135"/>
      <c r="R305" s="135"/>
    </row>
    <row r="306" spans="4:18" ht="13.2">
      <c r="D306" s="82"/>
      <c r="K306" s="116"/>
      <c r="L306" s="135"/>
      <c r="N306" s="135"/>
      <c r="P306" s="135"/>
      <c r="R306" s="135"/>
    </row>
    <row r="307" spans="4:18" ht="13.2">
      <c r="D307" s="82"/>
      <c r="K307" s="116"/>
      <c r="L307" s="135"/>
      <c r="N307" s="135"/>
      <c r="P307" s="135"/>
      <c r="R307" s="135"/>
    </row>
    <row r="308" spans="4:18" ht="13.2">
      <c r="D308" s="82"/>
      <c r="K308" s="116"/>
      <c r="L308" s="135"/>
      <c r="N308" s="135"/>
      <c r="P308" s="135"/>
      <c r="R308" s="135"/>
    </row>
    <row r="309" spans="4:18" ht="13.2">
      <c r="D309" s="82"/>
      <c r="K309" s="116"/>
      <c r="L309" s="135"/>
      <c r="N309" s="135"/>
      <c r="P309" s="135"/>
      <c r="R309" s="135"/>
    </row>
    <row r="310" spans="4:18" ht="13.2">
      <c r="D310" s="82"/>
      <c r="K310" s="116"/>
      <c r="L310" s="135"/>
      <c r="N310" s="135"/>
      <c r="P310" s="135"/>
      <c r="R310" s="135"/>
    </row>
    <row r="311" spans="4:18" ht="13.2">
      <c r="D311" s="82"/>
      <c r="K311" s="116"/>
      <c r="L311" s="135"/>
      <c r="N311" s="135"/>
      <c r="P311" s="135"/>
      <c r="R311" s="135"/>
    </row>
    <row r="312" spans="4:18" ht="13.2">
      <c r="D312" s="82"/>
      <c r="K312" s="116"/>
      <c r="L312" s="135"/>
      <c r="N312" s="135"/>
      <c r="P312" s="135"/>
      <c r="R312" s="135"/>
    </row>
    <row r="313" spans="4:18" ht="13.2">
      <c r="D313" s="82"/>
      <c r="K313" s="116"/>
      <c r="L313" s="135"/>
      <c r="N313" s="135"/>
      <c r="P313" s="135"/>
      <c r="R313" s="135"/>
    </row>
    <row r="314" spans="4:18" ht="13.2">
      <c r="D314" s="82"/>
      <c r="K314" s="116"/>
      <c r="L314" s="135"/>
      <c r="N314" s="135"/>
      <c r="P314" s="135"/>
      <c r="R314" s="135"/>
    </row>
    <row r="315" spans="4:18" ht="13.2">
      <c r="D315" s="82"/>
      <c r="K315" s="116"/>
      <c r="L315" s="135"/>
      <c r="N315" s="135"/>
      <c r="P315" s="135"/>
      <c r="R315" s="135"/>
    </row>
    <row r="316" spans="4:18" ht="13.2">
      <c r="D316" s="82"/>
      <c r="K316" s="116"/>
      <c r="L316" s="135"/>
      <c r="N316" s="135"/>
      <c r="P316" s="135"/>
      <c r="R316" s="135"/>
    </row>
    <row r="317" spans="4:18" ht="13.2">
      <c r="D317" s="82"/>
      <c r="K317" s="116"/>
      <c r="L317" s="135"/>
      <c r="N317" s="135"/>
      <c r="P317" s="135"/>
      <c r="R317" s="135"/>
    </row>
    <row r="318" spans="4:18" ht="13.2">
      <c r="D318" s="82"/>
      <c r="K318" s="116"/>
      <c r="L318" s="135"/>
      <c r="N318" s="135"/>
      <c r="P318" s="135"/>
      <c r="R318" s="135"/>
    </row>
    <row r="319" spans="4:18" ht="13.2">
      <c r="D319" s="82"/>
      <c r="K319" s="116"/>
      <c r="L319" s="135"/>
      <c r="N319" s="135"/>
      <c r="P319" s="135"/>
      <c r="R319" s="135"/>
    </row>
    <row r="320" spans="4:18" ht="13.2">
      <c r="D320" s="82"/>
      <c r="K320" s="116"/>
      <c r="L320" s="135"/>
      <c r="N320" s="135"/>
      <c r="P320" s="135"/>
      <c r="R320" s="135"/>
    </row>
    <row r="321" spans="4:18" ht="13.2">
      <c r="D321" s="82"/>
      <c r="K321" s="116"/>
      <c r="L321" s="135"/>
      <c r="N321" s="135"/>
      <c r="P321" s="135"/>
      <c r="R321" s="135"/>
    </row>
    <row r="322" spans="4:18" ht="13.2">
      <c r="D322" s="82"/>
      <c r="K322" s="116"/>
      <c r="L322" s="135"/>
      <c r="N322" s="135"/>
      <c r="P322" s="135"/>
      <c r="R322" s="135"/>
    </row>
    <row r="323" spans="4:18" ht="13.2">
      <c r="D323" s="82"/>
      <c r="K323" s="116"/>
      <c r="L323" s="135"/>
      <c r="N323" s="135"/>
      <c r="P323" s="135"/>
      <c r="R323" s="135"/>
    </row>
    <row r="324" spans="4:18" ht="13.2">
      <c r="D324" s="82"/>
      <c r="K324" s="116"/>
      <c r="L324" s="135"/>
      <c r="N324" s="135"/>
      <c r="P324" s="135"/>
      <c r="R324" s="135"/>
    </row>
    <row r="325" spans="4:18" ht="13.2">
      <c r="D325" s="82"/>
      <c r="K325" s="116"/>
      <c r="L325" s="135"/>
      <c r="N325" s="135"/>
      <c r="P325" s="135"/>
      <c r="R325" s="135"/>
    </row>
    <row r="326" spans="4:18" ht="13.2">
      <c r="D326" s="82"/>
      <c r="K326" s="116"/>
      <c r="L326" s="135"/>
      <c r="N326" s="135"/>
      <c r="P326" s="135"/>
      <c r="R326" s="135"/>
    </row>
    <row r="327" spans="4:18" ht="13.2">
      <c r="D327" s="82"/>
      <c r="K327" s="116"/>
      <c r="L327" s="135"/>
      <c r="N327" s="135"/>
      <c r="P327" s="135"/>
      <c r="R327" s="135"/>
    </row>
    <row r="328" spans="4:18" ht="13.2">
      <c r="D328" s="82"/>
      <c r="K328" s="116"/>
      <c r="L328" s="135"/>
      <c r="N328" s="135"/>
      <c r="P328" s="135"/>
      <c r="R328" s="135"/>
    </row>
    <row r="329" spans="4:18" ht="13.2">
      <c r="D329" s="82"/>
      <c r="K329" s="116"/>
      <c r="L329" s="135"/>
      <c r="N329" s="135"/>
      <c r="P329" s="135"/>
      <c r="R329" s="135"/>
    </row>
    <row r="330" spans="4:18" ht="13.2">
      <c r="D330" s="82"/>
      <c r="K330" s="116"/>
      <c r="L330" s="135"/>
      <c r="N330" s="135"/>
      <c r="P330" s="135"/>
      <c r="R330" s="135"/>
    </row>
    <row r="331" spans="4:18" ht="13.2">
      <c r="D331" s="82"/>
      <c r="K331" s="116"/>
      <c r="L331" s="135"/>
      <c r="N331" s="135"/>
      <c r="P331" s="135"/>
      <c r="R331" s="135"/>
    </row>
    <row r="332" spans="4:18" ht="13.2">
      <c r="D332" s="82"/>
      <c r="K332" s="116"/>
      <c r="L332" s="135"/>
      <c r="N332" s="135"/>
      <c r="P332" s="135"/>
      <c r="R332" s="135"/>
    </row>
    <row r="333" spans="4:18" ht="13.2">
      <c r="D333" s="82"/>
      <c r="K333" s="116"/>
      <c r="L333" s="135"/>
      <c r="N333" s="135"/>
      <c r="P333" s="135"/>
      <c r="R333" s="135"/>
    </row>
    <row r="334" spans="4:18" ht="13.2">
      <c r="D334" s="82"/>
      <c r="K334" s="116"/>
      <c r="L334" s="135"/>
      <c r="N334" s="135"/>
      <c r="P334" s="135"/>
      <c r="R334" s="135"/>
    </row>
    <row r="335" spans="4:18" ht="13.2">
      <c r="D335" s="82"/>
      <c r="K335" s="116"/>
      <c r="L335" s="135"/>
      <c r="N335" s="135"/>
      <c r="P335" s="135"/>
      <c r="R335" s="135"/>
    </row>
    <row r="336" spans="4:18" ht="13.2">
      <c r="D336" s="82"/>
      <c r="K336" s="116"/>
      <c r="L336" s="135"/>
      <c r="N336" s="135"/>
      <c r="P336" s="135"/>
      <c r="R336" s="135"/>
    </row>
    <row r="337" spans="4:18" ht="13.2">
      <c r="D337" s="82"/>
      <c r="K337" s="116"/>
      <c r="L337" s="135"/>
      <c r="N337" s="135"/>
      <c r="P337" s="135"/>
      <c r="R337" s="135"/>
    </row>
    <row r="338" spans="4:18" ht="13.2">
      <c r="D338" s="82"/>
      <c r="K338" s="116"/>
      <c r="L338" s="135"/>
      <c r="N338" s="135"/>
      <c r="P338" s="135"/>
      <c r="R338" s="135"/>
    </row>
    <row r="339" spans="4:18" ht="13.2">
      <c r="D339" s="82"/>
      <c r="K339" s="116"/>
      <c r="L339" s="135"/>
      <c r="N339" s="135"/>
      <c r="P339" s="135"/>
      <c r="R339" s="135"/>
    </row>
    <row r="340" spans="4:18" ht="13.2">
      <c r="D340" s="82"/>
      <c r="K340" s="116"/>
      <c r="L340" s="135"/>
      <c r="N340" s="135"/>
      <c r="P340" s="135"/>
      <c r="R340" s="135"/>
    </row>
    <row r="341" spans="4:18" ht="13.2">
      <c r="D341" s="82"/>
      <c r="K341" s="116"/>
      <c r="L341" s="135"/>
      <c r="N341" s="135"/>
      <c r="P341" s="135"/>
      <c r="R341" s="135"/>
    </row>
    <row r="342" spans="4:18" ht="13.2">
      <c r="D342" s="82"/>
      <c r="K342" s="116"/>
      <c r="L342" s="135"/>
      <c r="N342" s="135"/>
      <c r="P342" s="135"/>
      <c r="R342" s="135"/>
    </row>
    <row r="343" spans="4:18" ht="13.2">
      <c r="D343" s="82"/>
      <c r="K343" s="116"/>
      <c r="L343" s="135"/>
      <c r="N343" s="135"/>
      <c r="P343" s="135"/>
      <c r="R343" s="135"/>
    </row>
    <row r="344" spans="4:18" ht="13.2">
      <c r="D344" s="82"/>
      <c r="K344" s="116"/>
      <c r="L344" s="135"/>
      <c r="N344" s="135"/>
      <c r="P344" s="135"/>
      <c r="R344" s="135"/>
    </row>
    <row r="345" spans="4:18" ht="13.2">
      <c r="D345" s="82"/>
      <c r="K345" s="116"/>
      <c r="L345" s="135"/>
      <c r="N345" s="135"/>
      <c r="P345" s="135"/>
      <c r="R345" s="135"/>
    </row>
    <row r="346" spans="4:18" ht="13.2">
      <c r="D346" s="82"/>
      <c r="K346" s="116"/>
      <c r="L346" s="135"/>
      <c r="N346" s="135"/>
      <c r="P346" s="135"/>
      <c r="R346" s="135"/>
    </row>
    <row r="347" spans="4:18" ht="13.2">
      <c r="D347" s="82"/>
      <c r="K347" s="116"/>
      <c r="L347" s="135"/>
      <c r="N347" s="135"/>
      <c r="P347" s="135"/>
      <c r="R347" s="135"/>
    </row>
    <row r="348" spans="4:18" ht="13.2">
      <c r="D348" s="82"/>
      <c r="K348" s="116"/>
      <c r="L348" s="135"/>
      <c r="N348" s="135"/>
      <c r="P348" s="135"/>
      <c r="R348" s="135"/>
    </row>
    <row r="349" spans="4:18" ht="13.2">
      <c r="D349" s="82"/>
      <c r="K349" s="116"/>
      <c r="L349" s="135"/>
      <c r="N349" s="135"/>
      <c r="P349" s="135"/>
      <c r="R349" s="135"/>
    </row>
    <row r="350" spans="4:18" ht="13.2">
      <c r="D350" s="82"/>
      <c r="K350" s="116"/>
      <c r="L350" s="135"/>
      <c r="N350" s="135"/>
      <c r="P350" s="135"/>
      <c r="R350" s="135"/>
    </row>
    <row r="351" spans="4:18" ht="13.2">
      <c r="D351" s="82"/>
      <c r="K351" s="116"/>
      <c r="L351" s="135"/>
      <c r="N351" s="135"/>
      <c r="P351" s="135"/>
      <c r="R351" s="135"/>
    </row>
    <row r="352" spans="4:18" ht="13.2">
      <c r="D352" s="82"/>
      <c r="K352" s="116"/>
      <c r="L352" s="135"/>
      <c r="N352" s="135"/>
      <c r="P352" s="135"/>
      <c r="R352" s="135"/>
    </row>
    <row r="353" spans="4:18" ht="13.2">
      <c r="D353" s="82"/>
      <c r="K353" s="116"/>
      <c r="L353" s="135"/>
      <c r="N353" s="135"/>
      <c r="P353" s="135"/>
      <c r="R353" s="135"/>
    </row>
    <row r="354" spans="4:18" ht="13.2">
      <c r="D354" s="82"/>
      <c r="K354" s="116"/>
      <c r="L354" s="135"/>
      <c r="N354" s="135"/>
      <c r="P354" s="135"/>
      <c r="R354" s="135"/>
    </row>
    <row r="355" spans="4:18" ht="13.2">
      <c r="D355" s="82"/>
      <c r="K355" s="116"/>
      <c r="L355" s="135"/>
      <c r="N355" s="135"/>
      <c r="P355" s="135"/>
      <c r="R355" s="135"/>
    </row>
    <row r="356" spans="4:18" ht="13.2">
      <c r="D356" s="82"/>
      <c r="K356" s="116"/>
      <c r="L356" s="135"/>
      <c r="N356" s="135"/>
      <c r="P356" s="135"/>
      <c r="R356" s="135"/>
    </row>
    <row r="357" spans="4:18" ht="13.2">
      <c r="D357" s="82"/>
      <c r="K357" s="116"/>
      <c r="L357" s="135"/>
      <c r="N357" s="135"/>
      <c r="P357" s="135"/>
      <c r="R357" s="135"/>
    </row>
    <row r="358" spans="4:18" ht="13.2">
      <c r="D358" s="82"/>
      <c r="K358" s="116"/>
      <c r="L358" s="135"/>
      <c r="N358" s="135"/>
      <c r="P358" s="135"/>
      <c r="R358" s="135"/>
    </row>
    <row r="359" spans="4:18" ht="13.2">
      <c r="D359" s="82"/>
      <c r="K359" s="116"/>
      <c r="L359" s="135"/>
      <c r="N359" s="135"/>
      <c r="P359" s="135"/>
      <c r="R359" s="135"/>
    </row>
    <row r="360" spans="4:18" ht="13.2">
      <c r="D360" s="82"/>
      <c r="K360" s="116"/>
      <c r="L360" s="135"/>
      <c r="N360" s="135"/>
      <c r="P360" s="135"/>
      <c r="R360" s="135"/>
    </row>
    <row r="361" spans="4:18" ht="13.2">
      <c r="D361" s="82"/>
      <c r="K361" s="116"/>
      <c r="L361" s="135"/>
      <c r="N361" s="135"/>
      <c r="P361" s="135"/>
      <c r="R361" s="135"/>
    </row>
    <row r="362" spans="4:18" ht="13.2">
      <c r="D362" s="82"/>
      <c r="K362" s="116"/>
      <c r="L362" s="135"/>
      <c r="N362" s="135"/>
      <c r="P362" s="135"/>
      <c r="R362" s="135"/>
    </row>
    <row r="363" spans="4:18" ht="13.2">
      <c r="D363" s="82"/>
      <c r="K363" s="116"/>
      <c r="L363" s="135"/>
      <c r="N363" s="135"/>
      <c r="P363" s="135"/>
      <c r="R363" s="135"/>
    </row>
    <row r="364" spans="4:18" ht="13.2">
      <c r="D364" s="82"/>
      <c r="K364" s="116"/>
      <c r="L364" s="135"/>
      <c r="N364" s="135"/>
      <c r="P364" s="135"/>
      <c r="R364" s="135"/>
    </row>
    <row r="365" spans="4:18" ht="13.2">
      <c r="D365" s="82"/>
      <c r="K365" s="116"/>
      <c r="L365" s="135"/>
      <c r="N365" s="135"/>
      <c r="P365" s="135"/>
      <c r="R365" s="135"/>
    </row>
    <row r="366" spans="4:18" ht="13.2">
      <c r="D366" s="82"/>
      <c r="K366" s="116"/>
      <c r="L366" s="135"/>
      <c r="N366" s="135"/>
      <c r="P366" s="135"/>
      <c r="R366" s="135"/>
    </row>
    <row r="367" spans="4:18" ht="13.2">
      <c r="D367" s="82"/>
      <c r="K367" s="116"/>
      <c r="L367" s="135"/>
      <c r="N367" s="135"/>
      <c r="P367" s="135"/>
      <c r="R367" s="135"/>
    </row>
    <row r="368" spans="4:18" ht="13.2">
      <c r="D368" s="82"/>
      <c r="K368" s="116"/>
      <c r="L368" s="135"/>
      <c r="N368" s="135"/>
      <c r="P368" s="135"/>
      <c r="R368" s="135"/>
    </row>
    <row r="369" spans="4:18" ht="13.2">
      <c r="D369" s="82"/>
      <c r="K369" s="116"/>
      <c r="L369" s="135"/>
      <c r="N369" s="135"/>
      <c r="P369" s="135"/>
      <c r="R369" s="135"/>
    </row>
    <row r="370" spans="4:18" ht="13.2">
      <c r="D370" s="82"/>
      <c r="K370" s="116"/>
      <c r="L370" s="135"/>
      <c r="N370" s="135"/>
      <c r="P370" s="135"/>
      <c r="R370" s="135"/>
    </row>
    <row r="371" spans="4:18" ht="13.2">
      <c r="D371" s="82"/>
      <c r="K371" s="116"/>
      <c r="L371" s="135"/>
      <c r="N371" s="135"/>
      <c r="P371" s="135"/>
      <c r="R371" s="135"/>
    </row>
    <row r="372" spans="4:18" ht="13.2">
      <c r="D372" s="82"/>
      <c r="K372" s="116"/>
      <c r="L372" s="135"/>
      <c r="N372" s="135"/>
      <c r="P372" s="135"/>
      <c r="R372" s="135"/>
    </row>
    <row r="373" spans="4:18" ht="13.2">
      <c r="D373" s="82"/>
      <c r="K373" s="116"/>
      <c r="L373" s="135"/>
      <c r="N373" s="135"/>
      <c r="P373" s="135"/>
      <c r="R373" s="135"/>
    </row>
    <row r="374" spans="4:18" ht="13.2">
      <c r="D374" s="82"/>
      <c r="K374" s="116"/>
      <c r="L374" s="135"/>
      <c r="N374" s="135"/>
      <c r="P374" s="135"/>
      <c r="R374" s="135"/>
    </row>
    <row r="375" spans="4:18" ht="13.2">
      <c r="D375" s="82"/>
      <c r="K375" s="116"/>
      <c r="L375" s="135"/>
      <c r="N375" s="135"/>
      <c r="P375" s="135"/>
      <c r="R375" s="135"/>
    </row>
    <row r="376" spans="4:18" ht="13.2">
      <c r="D376" s="82"/>
      <c r="K376" s="116"/>
      <c r="L376" s="135"/>
      <c r="N376" s="135"/>
      <c r="P376" s="135"/>
      <c r="R376" s="135"/>
    </row>
    <row r="377" spans="4:18" ht="13.2">
      <c r="D377" s="82"/>
      <c r="K377" s="116"/>
      <c r="L377" s="135"/>
      <c r="N377" s="135"/>
      <c r="P377" s="135"/>
      <c r="R377" s="135"/>
    </row>
    <row r="378" spans="4:18" ht="13.2">
      <c r="D378" s="82"/>
      <c r="K378" s="116"/>
      <c r="L378" s="135"/>
      <c r="N378" s="135"/>
      <c r="P378" s="135"/>
      <c r="R378" s="135"/>
    </row>
    <row r="379" spans="4:18" ht="13.2">
      <c r="D379" s="82"/>
      <c r="K379" s="116"/>
      <c r="L379" s="135"/>
      <c r="N379" s="135"/>
      <c r="P379" s="135"/>
      <c r="R379" s="135"/>
    </row>
    <row r="380" spans="4:18" ht="13.2">
      <c r="D380" s="82"/>
      <c r="K380" s="116"/>
      <c r="L380" s="135"/>
      <c r="N380" s="135"/>
      <c r="P380" s="135"/>
      <c r="R380" s="135"/>
    </row>
    <row r="381" spans="4:18" ht="13.2">
      <c r="D381" s="82"/>
      <c r="K381" s="116"/>
      <c r="L381" s="135"/>
      <c r="N381" s="135"/>
      <c r="P381" s="135"/>
      <c r="R381" s="135"/>
    </row>
    <row r="382" spans="4:18" ht="13.2">
      <c r="D382" s="82"/>
      <c r="K382" s="116"/>
      <c r="L382" s="135"/>
      <c r="N382" s="135"/>
      <c r="P382" s="135"/>
      <c r="R382" s="135"/>
    </row>
    <row r="383" spans="4:18" ht="13.2">
      <c r="D383" s="82"/>
      <c r="K383" s="116"/>
      <c r="L383" s="135"/>
      <c r="N383" s="135"/>
      <c r="P383" s="135"/>
      <c r="R383" s="135"/>
    </row>
    <row r="384" spans="4:18" ht="13.2">
      <c r="D384" s="82"/>
      <c r="K384" s="116"/>
      <c r="L384" s="135"/>
      <c r="N384" s="135"/>
      <c r="P384" s="135"/>
      <c r="R384" s="135"/>
    </row>
    <row r="385" spans="4:18" ht="13.2">
      <c r="D385" s="82"/>
      <c r="K385" s="116"/>
      <c r="L385" s="135"/>
      <c r="N385" s="135"/>
      <c r="P385" s="135"/>
      <c r="R385" s="135"/>
    </row>
    <row r="386" spans="4:18" ht="13.2">
      <c r="D386" s="82"/>
      <c r="K386" s="116"/>
      <c r="L386" s="135"/>
      <c r="N386" s="135"/>
      <c r="P386" s="135"/>
      <c r="R386" s="135"/>
    </row>
    <row r="387" spans="4:18" ht="13.2">
      <c r="D387" s="82"/>
      <c r="K387" s="116"/>
      <c r="L387" s="135"/>
      <c r="N387" s="135"/>
      <c r="P387" s="135"/>
      <c r="R387" s="135"/>
    </row>
    <row r="388" spans="4:18" ht="13.2">
      <c r="D388" s="82"/>
      <c r="K388" s="116"/>
      <c r="L388" s="135"/>
      <c r="N388" s="135"/>
      <c r="P388" s="135"/>
      <c r="R388" s="135"/>
    </row>
    <row r="389" spans="4:18" ht="13.2">
      <c r="D389" s="82"/>
      <c r="K389" s="116"/>
      <c r="L389" s="135"/>
      <c r="N389" s="135"/>
      <c r="P389" s="135"/>
      <c r="R389" s="135"/>
    </row>
    <row r="390" spans="4:18" ht="13.2">
      <c r="D390" s="82"/>
      <c r="K390" s="116"/>
      <c r="L390" s="135"/>
      <c r="N390" s="135"/>
      <c r="P390" s="135"/>
      <c r="R390" s="135"/>
    </row>
    <row r="391" spans="4:18" ht="13.2">
      <c r="D391" s="82"/>
      <c r="K391" s="116"/>
      <c r="L391" s="135"/>
      <c r="N391" s="135"/>
      <c r="P391" s="135"/>
      <c r="R391" s="135"/>
    </row>
    <row r="392" spans="4:18" ht="13.2">
      <c r="D392" s="82"/>
      <c r="K392" s="116"/>
      <c r="L392" s="135"/>
      <c r="N392" s="135"/>
      <c r="P392" s="135"/>
      <c r="R392" s="135"/>
    </row>
    <row r="393" spans="4:18" ht="13.2">
      <c r="D393" s="82"/>
      <c r="K393" s="116"/>
      <c r="L393" s="135"/>
      <c r="N393" s="135"/>
      <c r="P393" s="135"/>
      <c r="R393" s="135"/>
    </row>
    <row r="394" spans="4:18" ht="13.2">
      <c r="D394" s="82"/>
      <c r="K394" s="116"/>
      <c r="L394" s="135"/>
      <c r="N394" s="135"/>
      <c r="P394" s="135"/>
      <c r="R394" s="135"/>
    </row>
    <row r="395" spans="4:18" ht="13.2">
      <c r="D395" s="82"/>
      <c r="K395" s="116"/>
      <c r="L395" s="135"/>
      <c r="N395" s="135"/>
      <c r="P395" s="135"/>
      <c r="R395" s="135"/>
    </row>
    <row r="396" spans="4:18" ht="13.2">
      <c r="D396" s="82"/>
      <c r="K396" s="116"/>
      <c r="L396" s="135"/>
      <c r="N396" s="135"/>
      <c r="P396" s="135"/>
      <c r="R396" s="135"/>
    </row>
    <row r="397" spans="4:18" ht="13.2">
      <c r="D397" s="82"/>
      <c r="K397" s="116"/>
      <c r="L397" s="135"/>
      <c r="N397" s="135"/>
      <c r="P397" s="135"/>
      <c r="R397" s="135"/>
    </row>
    <row r="398" spans="4:18" ht="13.2">
      <c r="D398" s="82"/>
      <c r="K398" s="116"/>
      <c r="L398" s="135"/>
      <c r="N398" s="135"/>
      <c r="P398" s="135"/>
      <c r="R398" s="135"/>
    </row>
    <row r="399" spans="4:18" ht="13.2">
      <c r="D399" s="82"/>
      <c r="K399" s="116"/>
      <c r="L399" s="135"/>
      <c r="N399" s="135"/>
      <c r="P399" s="135"/>
      <c r="R399" s="135"/>
    </row>
    <row r="400" spans="4:18" ht="13.2">
      <c r="D400" s="82"/>
      <c r="K400" s="116"/>
      <c r="L400" s="135"/>
      <c r="N400" s="135"/>
      <c r="P400" s="135"/>
      <c r="R400" s="135"/>
    </row>
    <row r="401" spans="4:18" ht="13.2">
      <c r="D401" s="82"/>
      <c r="K401" s="116"/>
      <c r="L401" s="135"/>
      <c r="N401" s="135"/>
      <c r="P401" s="135"/>
      <c r="R401" s="135"/>
    </row>
    <row r="402" spans="4:18" ht="13.2">
      <c r="D402" s="82"/>
      <c r="K402" s="116"/>
      <c r="L402" s="135"/>
      <c r="N402" s="135"/>
      <c r="P402" s="135"/>
      <c r="R402" s="135"/>
    </row>
    <row r="403" spans="4:18" ht="13.2">
      <c r="D403" s="82"/>
      <c r="K403" s="116"/>
      <c r="L403" s="135"/>
      <c r="N403" s="135"/>
      <c r="P403" s="135"/>
      <c r="R403" s="135"/>
    </row>
    <row r="404" spans="4:18" ht="13.2">
      <c r="D404" s="82"/>
      <c r="K404" s="116"/>
      <c r="L404" s="135"/>
      <c r="N404" s="135"/>
      <c r="P404" s="135"/>
      <c r="R404" s="135"/>
    </row>
    <row r="405" spans="4:18" ht="13.2">
      <c r="D405" s="82"/>
      <c r="K405" s="116"/>
      <c r="L405" s="135"/>
      <c r="N405" s="135"/>
      <c r="P405" s="135"/>
      <c r="R405" s="135"/>
    </row>
    <row r="406" spans="4:18" ht="13.2">
      <c r="D406" s="82"/>
      <c r="K406" s="116"/>
      <c r="L406" s="135"/>
      <c r="N406" s="135"/>
      <c r="P406" s="135"/>
      <c r="R406" s="135"/>
    </row>
    <row r="407" spans="4:18" ht="13.2">
      <c r="D407" s="82"/>
      <c r="K407" s="116"/>
      <c r="L407" s="135"/>
      <c r="N407" s="135"/>
      <c r="P407" s="135"/>
      <c r="R407" s="135"/>
    </row>
    <row r="408" spans="4:18" ht="13.2">
      <c r="D408" s="82"/>
      <c r="K408" s="116"/>
      <c r="L408" s="135"/>
      <c r="N408" s="135"/>
      <c r="P408" s="135"/>
      <c r="R408" s="135"/>
    </row>
    <row r="409" spans="4:18" ht="13.2">
      <c r="D409" s="82"/>
      <c r="K409" s="116"/>
      <c r="L409" s="135"/>
      <c r="N409" s="135"/>
      <c r="P409" s="135"/>
      <c r="R409" s="135"/>
    </row>
    <row r="410" spans="4:18" ht="13.2">
      <c r="D410" s="82"/>
      <c r="K410" s="116"/>
      <c r="L410" s="135"/>
      <c r="N410" s="135"/>
      <c r="P410" s="135"/>
      <c r="R410" s="135"/>
    </row>
    <row r="411" spans="4:18" ht="13.2">
      <c r="D411" s="82"/>
      <c r="K411" s="116"/>
      <c r="L411" s="135"/>
      <c r="N411" s="135"/>
      <c r="P411" s="135"/>
      <c r="R411" s="135"/>
    </row>
    <row r="412" spans="4:18" ht="13.2">
      <c r="D412" s="82"/>
      <c r="K412" s="116"/>
      <c r="L412" s="135"/>
      <c r="N412" s="135"/>
      <c r="P412" s="135"/>
      <c r="R412" s="135"/>
    </row>
    <row r="413" spans="4:18" ht="13.2">
      <c r="D413" s="82"/>
      <c r="K413" s="116"/>
      <c r="L413" s="135"/>
      <c r="N413" s="135"/>
      <c r="P413" s="135"/>
      <c r="R413" s="135"/>
    </row>
    <row r="414" spans="4:18" ht="13.2">
      <c r="D414" s="82"/>
      <c r="K414" s="116"/>
      <c r="L414" s="135"/>
      <c r="N414" s="135"/>
      <c r="P414" s="135"/>
      <c r="R414" s="135"/>
    </row>
    <row r="415" spans="4:18" ht="13.2">
      <c r="D415" s="82"/>
      <c r="K415" s="116"/>
      <c r="L415" s="135"/>
      <c r="N415" s="135"/>
      <c r="P415" s="135"/>
      <c r="R415" s="135"/>
    </row>
    <row r="416" spans="4:18" ht="13.2">
      <c r="D416" s="82"/>
      <c r="K416" s="116"/>
      <c r="L416" s="135"/>
      <c r="N416" s="135"/>
      <c r="P416" s="135"/>
      <c r="R416" s="135"/>
    </row>
    <row r="417" spans="4:18" ht="13.2">
      <c r="D417" s="82"/>
      <c r="K417" s="116"/>
      <c r="L417" s="135"/>
      <c r="N417" s="135"/>
      <c r="P417" s="135"/>
      <c r="R417" s="135"/>
    </row>
    <row r="418" spans="4:18" ht="13.2">
      <c r="D418" s="82"/>
      <c r="K418" s="116"/>
      <c r="L418" s="135"/>
      <c r="N418" s="135"/>
      <c r="P418" s="135"/>
      <c r="R418" s="135"/>
    </row>
    <row r="419" spans="4:18" ht="13.2">
      <c r="D419" s="82"/>
      <c r="K419" s="116"/>
      <c r="L419" s="135"/>
      <c r="N419" s="135"/>
      <c r="P419" s="135"/>
      <c r="R419" s="135"/>
    </row>
    <row r="420" spans="4:18" ht="13.2">
      <c r="D420" s="82"/>
      <c r="K420" s="116"/>
      <c r="L420" s="135"/>
      <c r="N420" s="135"/>
      <c r="P420" s="135"/>
      <c r="R420" s="135"/>
    </row>
    <row r="421" spans="4:18" ht="13.2">
      <c r="D421" s="82"/>
      <c r="K421" s="116"/>
      <c r="L421" s="135"/>
      <c r="N421" s="135"/>
      <c r="P421" s="135"/>
      <c r="R421" s="135"/>
    </row>
    <row r="422" spans="4:18" ht="13.2">
      <c r="D422" s="82"/>
      <c r="K422" s="116"/>
      <c r="L422" s="135"/>
      <c r="N422" s="135"/>
      <c r="P422" s="135"/>
      <c r="R422" s="135"/>
    </row>
    <row r="423" spans="4:18" ht="13.2">
      <c r="D423" s="82"/>
      <c r="K423" s="116"/>
      <c r="L423" s="135"/>
      <c r="N423" s="135"/>
      <c r="P423" s="135"/>
      <c r="R423" s="135"/>
    </row>
    <row r="424" spans="4:18" ht="13.2">
      <c r="D424" s="82"/>
      <c r="K424" s="116"/>
      <c r="L424" s="135"/>
      <c r="N424" s="135"/>
      <c r="P424" s="135"/>
      <c r="R424" s="135"/>
    </row>
    <row r="425" spans="4:18" ht="13.2">
      <c r="D425" s="82"/>
      <c r="K425" s="116"/>
      <c r="L425" s="135"/>
      <c r="N425" s="135"/>
      <c r="P425" s="135"/>
      <c r="R425" s="135"/>
    </row>
    <row r="426" spans="4:18" ht="13.2">
      <c r="D426" s="82"/>
      <c r="K426" s="116"/>
      <c r="L426" s="135"/>
      <c r="N426" s="135"/>
      <c r="P426" s="135"/>
      <c r="R426" s="135"/>
    </row>
    <row r="427" spans="4:18" ht="13.2">
      <c r="D427" s="82"/>
      <c r="K427" s="116"/>
      <c r="L427" s="135"/>
      <c r="N427" s="135"/>
      <c r="P427" s="135"/>
      <c r="R427" s="135"/>
    </row>
    <row r="428" spans="4:18" ht="13.2">
      <c r="D428" s="82"/>
      <c r="K428" s="116"/>
      <c r="L428" s="135"/>
      <c r="N428" s="135"/>
      <c r="P428" s="135"/>
      <c r="R428" s="135"/>
    </row>
    <row r="429" spans="4:18" ht="13.2">
      <c r="D429" s="82"/>
      <c r="K429" s="116"/>
      <c r="L429" s="135"/>
      <c r="N429" s="135"/>
      <c r="P429" s="135"/>
      <c r="R429" s="135"/>
    </row>
    <row r="430" spans="4:18" ht="13.2">
      <c r="D430" s="82"/>
      <c r="K430" s="116"/>
      <c r="L430" s="135"/>
      <c r="N430" s="135"/>
      <c r="P430" s="135"/>
      <c r="R430" s="135"/>
    </row>
    <row r="431" spans="4:18" ht="13.2">
      <c r="D431" s="82"/>
      <c r="K431" s="116"/>
      <c r="L431" s="135"/>
      <c r="N431" s="135"/>
      <c r="P431" s="135"/>
      <c r="R431" s="135"/>
    </row>
    <row r="432" spans="4:18" ht="13.2">
      <c r="D432" s="82"/>
      <c r="K432" s="116"/>
      <c r="L432" s="135"/>
      <c r="N432" s="135"/>
      <c r="P432" s="135"/>
      <c r="R432" s="135"/>
    </row>
    <row r="433" spans="4:18" ht="13.2">
      <c r="D433" s="82"/>
      <c r="K433" s="116"/>
      <c r="L433" s="135"/>
      <c r="N433" s="135"/>
      <c r="P433" s="135"/>
      <c r="R433" s="135"/>
    </row>
    <row r="434" spans="4:18" ht="13.2">
      <c r="D434" s="82"/>
      <c r="K434" s="116"/>
      <c r="L434" s="135"/>
      <c r="N434" s="135"/>
      <c r="P434" s="135"/>
      <c r="R434" s="135"/>
    </row>
    <row r="435" spans="4:18" ht="13.2">
      <c r="D435" s="82"/>
      <c r="K435" s="116"/>
      <c r="L435" s="135"/>
      <c r="N435" s="135"/>
      <c r="P435" s="135"/>
      <c r="R435" s="135"/>
    </row>
    <row r="436" spans="4:18" ht="13.2">
      <c r="D436" s="82"/>
      <c r="K436" s="116"/>
      <c r="L436" s="135"/>
      <c r="N436" s="135"/>
      <c r="P436" s="135"/>
      <c r="R436" s="135"/>
    </row>
    <row r="437" spans="4:18" ht="13.2">
      <c r="D437" s="82"/>
      <c r="K437" s="116"/>
      <c r="L437" s="135"/>
      <c r="N437" s="135"/>
      <c r="P437" s="135"/>
      <c r="R437" s="135"/>
    </row>
    <row r="438" spans="4:18" ht="13.2">
      <c r="D438" s="82"/>
      <c r="K438" s="116"/>
      <c r="L438" s="135"/>
      <c r="N438" s="135"/>
      <c r="P438" s="135"/>
      <c r="R438" s="135"/>
    </row>
    <row r="439" spans="4:18" ht="13.2">
      <c r="D439" s="82"/>
      <c r="K439" s="116"/>
      <c r="L439" s="135"/>
      <c r="N439" s="135"/>
      <c r="P439" s="135"/>
      <c r="R439" s="135"/>
    </row>
    <row r="440" spans="4:18" ht="13.2">
      <c r="D440" s="82"/>
      <c r="K440" s="116"/>
      <c r="L440" s="135"/>
      <c r="N440" s="135"/>
      <c r="P440" s="135"/>
      <c r="R440" s="135"/>
    </row>
    <row r="441" spans="4:18" ht="13.2">
      <c r="D441" s="82"/>
      <c r="K441" s="116"/>
      <c r="L441" s="135"/>
      <c r="N441" s="135"/>
      <c r="P441" s="135"/>
      <c r="R441" s="135"/>
    </row>
    <row r="442" spans="4:18" ht="13.2">
      <c r="D442" s="82"/>
      <c r="K442" s="116"/>
      <c r="L442" s="135"/>
      <c r="N442" s="135"/>
      <c r="P442" s="135"/>
      <c r="R442" s="135"/>
    </row>
    <row r="443" spans="4:18" ht="13.2">
      <c r="D443" s="82"/>
      <c r="K443" s="116"/>
      <c r="L443" s="135"/>
      <c r="N443" s="135"/>
      <c r="P443" s="135"/>
      <c r="R443" s="135"/>
    </row>
    <row r="444" spans="4:18" ht="13.2">
      <c r="D444" s="82"/>
      <c r="K444" s="116"/>
      <c r="L444" s="135"/>
      <c r="N444" s="135"/>
      <c r="P444" s="135"/>
      <c r="R444" s="135"/>
    </row>
    <row r="445" spans="4:18" ht="13.2">
      <c r="D445" s="82"/>
      <c r="K445" s="116"/>
      <c r="L445" s="135"/>
      <c r="N445" s="135"/>
      <c r="P445" s="135"/>
      <c r="R445" s="135"/>
    </row>
    <row r="446" spans="4:18" ht="13.2">
      <c r="D446" s="82"/>
      <c r="K446" s="116"/>
      <c r="L446" s="135"/>
      <c r="N446" s="135"/>
      <c r="P446" s="135"/>
      <c r="R446" s="135"/>
    </row>
    <row r="447" spans="4:18" ht="13.2">
      <c r="D447" s="82"/>
      <c r="K447" s="116"/>
      <c r="L447" s="135"/>
      <c r="N447" s="135"/>
      <c r="P447" s="135"/>
      <c r="R447" s="135"/>
    </row>
    <row r="448" spans="4:18" ht="13.2">
      <c r="D448" s="82"/>
      <c r="K448" s="116"/>
      <c r="L448" s="135"/>
      <c r="N448" s="135"/>
      <c r="P448" s="135"/>
      <c r="R448" s="135"/>
    </row>
    <row r="449" spans="4:18" ht="13.2">
      <c r="D449" s="82"/>
      <c r="K449" s="116"/>
      <c r="L449" s="135"/>
      <c r="N449" s="135"/>
      <c r="P449" s="135"/>
      <c r="R449" s="135"/>
    </row>
    <row r="450" spans="4:18" ht="13.2">
      <c r="D450" s="82"/>
      <c r="K450" s="116"/>
      <c r="L450" s="135"/>
      <c r="N450" s="135"/>
      <c r="P450" s="135"/>
      <c r="R450" s="135"/>
    </row>
    <row r="451" spans="4:18" ht="13.2">
      <c r="D451" s="82"/>
      <c r="K451" s="116"/>
      <c r="L451" s="135"/>
      <c r="N451" s="135"/>
      <c r="P451" s="135"/>
      <c r="R451" s="135"/>
    </row>
    <row r="452" spans="4:18" ht="13.2">
      <c r="D452" s="82"/>
      <c r="K452" s="116"/>
      <c r="L452" s="135"/>
      <c r="N452" s="135"/>
      <c r="P452" s="135"/>
      <c r="R452" s="135"/>
    </row>
    <row r="453" spans="4:18" ht="13.2">
      <c r="D453" s="82"/>
      <c r="K453" s="116"/>
      <c r="L453" s="135"/>
      <c r="N453" s="135"/>
      <c r="P453" s="135"/>
      <c r="R453" s="135"/>
    </row>
    <row r="454" spans="4:18" ht="13.2">
      <c r="D454" s="82"/>
      <c r="K454" s="116"/>
      <c r="L454" s="135"/>
      <c r="N454" s="135"/>
      <c r="P454" s="135"/>
      <c r="R454" s="135"/>
    </row>
    <row r="455" spans="4:18" ht="13.2">
      <c r="D455" s="82"/>
      <c r="K455" s="116"/>
      <c r="L455" s="135"/>
      <c r="N455" s="135"/>
      <c r="P455" s="135"/>
      <c r="R455" s="135"/>
    </row>
    <row r="456" spans="4:18" ht="13.2">
      <c r="D456" s="82"/>
      <c r="K456" s="116"/>
      <c r="L456" s="135"/>
      <c r="N456" s="135"/>
      <c r="P456" s="135"/>
      <c r="R456" s="135"/>
    </row>
    <row r="457" spans="4:18" ht="13.2">
      <c r="D457" s="82"/>
      <c r="K457" s="116"/>
      <c r="L457" s="135"/>
      <c r="N457" s="135"/>
      <c r="P457" s="135"/>
      <c r="R457" s="135"/>
    </row>
    <row r="458" spans="4:18" ht="13.2">
      <c r="D458" s="82"/>
      <c r="K458" s="116"/>
      <c r="L458" s="135"/>
      <c r="N458" s="135"/>
      <c r="P458" s="135"/>
      <c r="R458" s="135"/>
    </row>
    <row r="459" spans="4:18" ht="13.2">
      <c r="D459" s="82"/>
      <c r="K459" s="116"/>
      <c r="L459" s="135"/>
      <c r="N459" s="135"/>
      <c r="P459" s="135"/>
      <c r="R459" s="135"/>
    </row>
    <row r="460" spans="4:18" ht="13.2">
      <c r="D460" s="82"/>
      <c r="K460" s="116"/>
      <c r="L460" s="135"/>
      <c r="N460" s="135"/>
      <c r="P460" s="135"/>
      <c r="R460" s="135"/>
    </row>
    <row r="461" spans="4:18" ht="13.2">
      <c r="D461" s="82"/>
      <c r="K461" s="116"/>
      <c r="L461" s="135"/>
      <c r="N461" s="135"/>
      <c r="P461" s="135"/>
      <c r="R461" s="135"/>
    </row>
    <row r="462" spans="4:18" ht="13.2">
      <c r="D462" s="82"/>
      <c r="K462" s="116"/>
      <c r="L462" s="135"/>
      <c r="N462" s="135"/>
      <c r="P462" s="135"/>
      <c r="R462" s="135"/>
    </row>
    <row r="463" spans="4:18" ht="13.2">
      <c r="D463" s="82"/>
      <c r="K463" s="116"/>
      <c r="L463" s="135"/>
      <c r="N463" s="135"/>
      <c r="P463" s="135"/>
      <c r="R463" s="135"/>
    </row>
    <row r="464" spans="4:18" ht="13.2">
      <c r="D464" s="82"/>
      <c r="K464" s="116"/>
      <c r="L464" s="135"/>
      <c r="N464" s="135"/>
      <c r="P464" s="135"/>
      <c r="R464" s="135"/>
    </row>
    <row r="465" spans="4:18" ht="13.2">
      <c r="D465" s="82"/>
      <c r="K465" s="116"/>
      <c r="L465" s="135"/>
      <c r="N465" s="135"/>
      <c r="P465" s="135"/>
      <c r="R465" s="135"/>
    </row>
    <row r="466" spans="4:18" ht="13.2">
      <c r="D466" s="82"/>
      <c r="K466" s="116"/>
      <c r="L466" s="135"/>
      <c r="N466" s="135"/>
      <c r="P466" s="135"/>
      <c r="R466" s="135"/>
    </row>
    <row r="467" spans="4:18" ht="13.2">
      <c r="D467" s="82"/>
      <c r="K467" s="116"/>
      <c r="L467" s="135"/>
      <c r="N467" s="135"/>
      <c r="P467" s="135"/>
      <c r="R467" s="135"/>
    </row>
    <row r="468" spans="4:18" ht="13.2">
      <c r="D468" s="82"/>
      <c r="K468" s="116"/>
      <c r="L468" s="135"/>
      <c r="N468" s="135"/>
      <c r="P468" s="135"/>
      <c r="R468" s="135"/>
    </row>
    <row r="469" spans="4:18" ht="13.2">
      <c r="D469" s="82"/>
      <c r="K469" s="116"/>
      <c r="L469" s="135"/>
      <c r="N469" s="135"/>
      <c r="P469" s="135"/>
      <c r="R469" s="135"/>
    </row>
    <row r="470" spans="4:18" ht="13.2">
      <c r="D470" s="82"/>
      <c r="K470" s="116"/>
      <c r="L470" s="135"/>
      <c r="N470" s="135"/>
      <c r="P470" s="135"/>
      <c r="R470" s="135"/>
    </row>
    <row r="471" spans="4:18" ht="13.2">
      <c r="D471" s="82"/>
      <c r="K471" s="116"/>
      <c r="L471" s="135"/>
      <c r="N471" s="135"/>
      <c r="P471" s="135"/>
      <c r="R471" s="135"/>
    </row>
    <row r="472" spans="4:18" ht="13.2">
      <c r="D472" s="82"/>
      <c r="K472" s="116"/>
      <c r="L472" s="135"/>
      <c r="N472" s="135"/>
      <c r="P472" s="135"/>
      <c r="R472" s="135"/>
    </row>
    <row r="473" spans="4:18" ht="13.2">
      <c r="D473" s="82"/>
      <c r="K473" s="116"/>
      <c r="L473" s="135"/>
      <c r="N473" s="135"/>
      <c r="P473" s="135"/>
      <c r="R473" s="135"/>
    </row>
    <row r="474" spans="4:18" ht="13.2">
      <c r="D474" s="82"/>
      <c r="K474" s="116"/>
      <c r="L474" s="135"/>
      <c r="N474" s="135"/>
      <c r="P474" s="135"/>
      <c r="R474" s="135"/>
    </row>
    <row r="475" spans="4:18" ht="13.2">
      <c r="D475" s="82"/>
      <c r="K475" s="116"/>
      <c r="L475" s="135"/>
      <c r="N475" s="135"/>
      <c r="P475" s="135"/>
      <c r="R475" s="135"/>
    </row>
    <row r="476" spans="4:18" ht="13.2">
      <c r="D476" s="82"/>
      <c r="K476" s="116"/>
      <c r="L476" s="135"/>
      <c r="N476" s="135"/>
      <c r="P476" s="135"/>
      <c r="R476" s="135"/>
    </row>
    <row r="477" spans="4:18" ht="13.2">
      <c r="D477" s="82"/>
      <c r="K477" s="116"/>
      <c r="L477" s="135"/>
      <c r="N477" s="135"/>
      <c r="P477" s="135"/>
      <c r="R477" s="135"/>
    </row>
    <row r="478" spans="4:18" ht="13.2">
      <c r="D478" s="82"/>
      <c r="K478" s="116"/>
      <c r="L478" s="135"/>
      <c r="N478" s="135"/>
      <c r="P478" s="135"/>
      <c r="R478" s="135"/>
    </row>
    <row r="479" spans="4:18" ht="13.2">
      <c r="D479" s="82"/>
      <c r="K479" s="116"/>
      <c r="L479" s="135"/>
      <c r="N479" s="135"/>
      <c r="P479" s="135"/>
      <c r="R479" s="135"/>
    </row>
    <row r="480" spans="4:18" ht="13.2">
      <c r="D480" s="82"/>
      <c r="K480" s="116"/>
      <c r="L480" s="135"/>
      <c r="N480" s="135"/>
      <c r="P480" s="135"/>
      <c r="R480" s="135"/>
    </row>
    <row r="481" spans="4:18" ht="13.2">
      <c r="D481" s="82"/>
      <c r="K481" s="116"/>
      <c r="L481" s="135"/>
      <c r="N481" s="135"/>
      <c r="P481" s="135"/>
      <c r="R481" s="135"/>
    </row>
    <row r="482" spans="4:18" ht="13.2">
      <c r="D482" s="82"/>
      <c r="K482" s="116"/>
      <c r="L482" s="135"/>
      <c r="N482" s="135"/>
      <c r="P482" s="135"/>
      <c r="R482" s="135"/>
    </row>
    <row r="483" spans="4:18" ht="13.2">
      <c r="D483" s="82"/>
      <c r="K483" s="116"/>
      <c r="L483" s="135"/>
      <c r="N483" s="135"/>
      <c r="P483" s="135"/>
      <c r="R483" s="135"/>
    </row>
    <row r="484" spans="4:18" ht="13.2">
      <c r="D484" s="82"/>
      <c r="K484" s="116"/>
      <c r="L484" s="135"/>
      <c r="N484" s="135"/>
      <c r="P484" s="135"/>
      <c r="R484" s="135"/>
    </row>
    <row r="485" spans="4:18" ht="13.2">
      <c r="D485" s="82"/>
      <c r="K485" s="116"/>
      <c r="L485" s="135"/>
      <c r="N485" s="135"/>
      <c r="P485" s="135"/>
      <c r="R485" s="135"/>
    </row>
    <row r="486" spans="4:18" ht="13.2">
      <c r="D486" s="82"/>
      <c r="K486" s="116"/>
      <c r="L486" s="135"/>
      <c r="N486" s="135"/>
      <c r="P486" s="135"/>
      <c r="R486" s="135"/>
    </row>
    <row r="487" spans="4:18" ht="13.2">
      <c r="D487" s="82"/>
      <c r="K487" s="116"/>
      <c r="L487" s="135"/>
      <c r="N487" s="135"/>
      <c r="P487" s="135"/>
      <c r="R487" s="135"/>
    </row>
    <row r="488" spans="4:18" ht="13.2">
      <c r="D488" s="82"/>
      <c r="K488" s="116"/>
      <c r="L488" s="135"/>
      <c r="N488" s="135"/>
      <c r="P488" s="135"/>
      <c r="R488" s="135"/>
    </row>
    <row r="489" spans="4:18" ht="13.2">
      <c r="D489" s="82"/>
      <c r="K489" s="116"/>
      <c r="L489" s="135"/>
      <c r="N489" s="135"/>
      <c r="P489" s="135"/>
      <c r="R489" s="135"/>
    </row>
    <row r="490" spans="4:18" ht="13.2">
      <c r="D490" s="82"/>
      <c r="K490" s="116"/>
      <c r="L490" s="135"/>
      <c r="N490" s="135"/>
      <c r="P490" s="135"/>
      <c r="R490" s="135"/>
    </row>
    <row r="491" spans="4:18" ht="13.2">
      <c r="D491" s="82"/>
      <c r="K491" s="116"/>
      <c r="L491" s="135"/>
      <c r="N491" s="135"/>
      <c r="P491" s="135"/>
      <c r="R491" s="135"/>
    </row>
    <row r="492" spans="4:18" ht="13.2">
      <c r="D492" s="82"/>
      <c r="K492" s="116"/>
      <c r="L492" s="135"/>
      <c r="N492" s="135"/>
      <c r="P492" s="135"/>
      <c r="R492" s="135"/>
    </row>
    <row r="493" spans="4:18" ht="13.2">
      <c r="D493" s="82"/>
      <c r="K493" s="116"/>
      <c r="L493" s="135"/>
      <c r="N493" s="135"/>
      <c r="P493" s="135"/>
      <c r="R493" s="135"/>
    </row>
    <row r="494" spans="4:18" ht="13.2">
      <c r="D494" s="82"/>
      <c r="K494" s="116"/>
      <c r="L494" s="135"/>
      <c r="N494" s="135"/>
      <c r="P494" s="135"/>
      <c r="R494" s="135"/>
    </row>
    <row r="495" spans="4:18" ht="13.2">
      <c r="D495" s="82"/>
      <c r="K495" s="116"/>
      <c r="L495" s="135"/>
      <c r="N495" s="135"/>
      <c r="P495" s="135"/>
      <c r="R495" s="135"/>
    </row>
    <row r="496" spans="4:18" ht="13.2">
      <c r="D496" s="82"/>
      <c r="K496" s="116"/>
      <c r="L496" s="135"/>
      <c r="N496" s="135"/>
      <c r="P496" s="135"/>
      <c r="R496" s="135"/>
    </row>
    <row r="497" spans="4:18" ht="13.2">
      <c r="D497" s="82"/>
      <c r="K497" s="116"/>
      <c r="L497" s="135"/>
      <c r="N497" s="135"/>
      <c r="P497" s="135"/>
      <c r="R497" s="135"/>
    </row>
    <row r="498" spans="4:18" ht="13.2">
      <c r="D498" s="82"/>
      <c r="K498" s="116"/>
      <c r="L498" s="135"/>
      <c r="N498" s="135"/>
      <c r="P498" s="135"/>
      <c r="R498" s="135"/>
    </row>
    <row r="499" spans="4:18" ht="13.2">
      <c r="D499" s="82"/>
      <c r="K499" s="116"/>
      <c r="L499" s="135"/>
      <c r="N499" s="135"/>
      <c r="P499" s="135"/>
      <c r="R499" s="135"/>
    </row>
    <row r="500" spans="4:18" ht="13.2">
      <c r="D500" s="82"/>
      <c r="K500" s="116"/>
      <c r="L500" s="135"/>
      <c r="N500" s="135"/>
      <c r="P500" s="135"/>
      <c r="R500" s="135"/>
    </row>
    <row r="501" spans="4:18" ht="13.2">
      <c r="D501" s="82"/>
      <c r="K501" s="116"/>
      <c r="L501" s="135"/>
      <c r="N501" s="135"/>
      <c r="P501" s="135"/>
      <c r="R501" s="135"/>
    </row>
    <row r="502" spans="4:18" ht="13.2">
      <c r="D502" s="82"/>
      <c r="K502" s="116"/>
      <c r="L502" s="135"/>
      <c r="N502" s="135"/>
      <c r="P502" s="135"/>
      <c r="R502" s="135"/>
    </row>
    <row r="503" spans="4:18" ht="13.2">
      <c r="D503" s="82"/>
      <c r="K503" s="116"/>
      <c r="L503" s="135"/>
      <c r="N503" s="135"/>
      <c r="P503" s="135"/>
      <c r="R503" s="135"/>
    </row>
    <row r="504" spans="4:18" ht="13.2">
      <c r="D504" s="82"/>
      <c r="K504" s="116"/>
      <c r="L504" s="135"/>
      <c r="N504" s="135"/>
      <c r="P504" s="135"/>
      <c r="R504" s="135"/>
    </row>
    <row r="505" spans="4:18" ht="13.2">
      <c r="D505" s="82"/>
      <c r="K505" s="116"/>
      <c r="L505" s="135"/>
      <c r="N505" s="135"/>
      <c r="P505" s="135"/>
      <c r="R505" s="135"/>
    </row>
    <row r="506" spans="4:18" ht="13.2">
      <c r="D506" s="82"/>
      <c r="K506" s="116"/>
      <c r="L506" s="135"/>
      <c r="N506" s="135"/>
      <c r="P506" s="135"/>
      <c r="R506" s="135"/>
    </row>
    <row r="507" spans="4:18" ht="13.2">
      <c r="D507" s="82"/>
      <c r="K507" s="116"/>
      <c r="L507" s="135"/>
      <c r="N507" s="135"/>
      <c r="P507" s="135"/>
      <c r="R507" s="135"/>
    </row>
    <row r="508" spans="4:18" ht="13.2">
      <c r="D508" s="82"/>
      <c r="K508" s="116"/>
      <c r="L508" s="135"/>
      <c r="N508" s="135"/>
      <c r="P508" s="135"/>
      <c r="R508" s="135"/>
    </row>
    <row r="509" spans="4:18" ht="13.2">
      <c r="D509" s="82"/>
      <c r="K509" s="116"/>
      <c r="L509" s="135"/>
      <c r="N509" s="135"/>
      <c r="P509" s="135"/>
      <c r="R509" s="135"/>
    </row>
    <row r="510" spans="4:18" ht="13.2">
      <c r="D510" s="82"/>
      <c r="K510" s="116"/>
      <c r="L510" s="135"/>
      <c r="N510" s="135"/>
      <c r="P510" s="135"/>
      <c r="R510" s="135"/>
    </row>
    <row r="511" spans="4:18" ht="13.2">
      <c r="D511" s="82"/>
      <c r="K511" s="116"/>
      <c r="L511" s="135"/>
      <c r="N511" s="135"/>
      <c r="P511" s="135"/>
      <c r="R511" s="135"/>
    </row>
    <row r="512" spans="4:18" ht="13.2">
      <c r="D512" s="82"/>
      <c r="K512" s="116"/>
      <c r="L512" s="135"/>
      <c r="N512" s="135"/>
      <c r="P512" s="135"/>
      <c r="R512" s="135"/>
    </row>
    <row r="513" spans="4:18" ht="13.2">
      <c r="D513" s="82"/>
      <c r="K513" s="116"/>
      <c r="L513" s="135"/>
      <c r="N513" s="135"/>
      <c r="P513" s="135"/>
      <c r="R513" s="135"/>
    </row>
    <row r="514" spans="4:18" ht="13.2">
      <c r="D514" s="82"/>
      <c r="K514" s="116"/>
      <c r="L514" s="135"/>
      <c r="N514" s="135"/>
      <c r="P514" s="135"/>
      <c r="R514" s="135"/>
    </row>
    <row r="515" spans="4:18" ht="13.2">
      <c r="D515" s="82"/>
      <c r="K515" s="116"/>
      <c r="L515" s="135"/>
      <c r="N515" s="135"/>
      <c r="P515" s="135"/>
      <c r="R515" s="135"/>
    </row>
    <row r="516" spans="4:18" ht="13.2">
      <c r="D516" s="82"/>
      <c r="K516" s="116"/>
      <c r="L516" s="135"/>
      <c r="N516" s="135"/>
      <c r="P516" s="135"/>
      <c r="R516" s="135"/>
    </row>
    <row r="517" spans="4:18" ht="13.2">
      <c r="D517" s="82"/>
      <c r="K517" s="116"/>
      <c r="L517" s="135"/>
      <c r="N517" s="135"/>
      <c r="P517" s="135"/>
      <c r="R517" s="135"/>
    </row>
    <row r="518" spans="4:18" ht="13.2">
      <c r="D518" s="82"/>
      <c r="K518" s="116"/>
      <c r="L518" s="135"/>
      <c r="N518" s="135"/>
      <c r="P518" s="135"/>
      <c r="R518" s="135"/>
    </row>
    <row r="519" spans="4:18" ht="13.2">
      <c r="D519" s="82"/>
      <c r="K519" s="116"/>
      <c r="L519" s="135"/>
      <c r="N519" s="135"/>
      <c r="P519" s="135"/>
      <c r="R519" s="135"/>
    </row>
    <row r="520" spans="4:18" ht="13.2">
      <c r="D520" s="82"/>
      <c r="K520" s="116"/>
      <c r="L520" s="135"/>
      <c r="N520" s="135"/>
      <c r="P520" s="135"/>
      <c r="R520" s="135"/>
    </row>
    <row r="521" spans="4:18" ht="13.2">
      <c r="D521" s="82"/>
      <c r="K521" s="116"/>
      <c r="L521" s="135"/>
      <c r="N521" s="135"/>
      <c r="P521" s="135"/>
      <c r="R521" s="135"/>
    </row>
    <row r="522" spans="4:18" ht="13.2">
      <c r="D522" s="82"/>
      <c r="K522" s="116"/>
      <c r="L522" s="135"/>
      <c r="N522" s="135"/>
      <c r="P522" s="135"/>
      <c r="R522" s="135"/>
    </row>
    <row r="523" spans="4:18" ht="13.2">
      <c r="D523" s="82"/>
      <c r="K523" s="116"/>
      <c r="L523" s="135"/>
      <c r="N523" s="135"/>
      <c r="P523" s="135"/>
      <c r="R523" s="135"/>
    </row>
    <row r="524" spans="4:18" ht="13.2">
      <c r="D524" s="82"/>
      <c r="K524" s="116"/>
      <c r="L524" s="135"/>
      <c r="N524" s="135"/>
      <c r="P524" s="135"/>
      <c r="R524" s="135"/>
    </row>
    <row r="525" spans="4:18" ht="13.2">
      <c r="D525" s="82"/>
      <c r="K525" s="116"/>
      <c r="L525" s="135"/>
      <c r="N525" s="135"/>
      <c r="P525" s="135"/>
      <c r="R525" s="135"/>
    </row>
    <row r="526" spans="4:18" ht="13.2">
      <c r="D526" s="82"/>
      <c r="K526" s="116"/>
      <c r="L526" s="135"/>
      <c r="N526" s="135"/>
      <c r="P526" s="135"/>
      <c r="R526" s="135"/>
    </row>
    <row r="527" spans="4:18" ht="13.2">
      <c r="D527" s="82"/>
      <c r="K527" s="116"/>
      <c r="L527" s="135"/>
      <c r="N527" s="135"/>
      <c r="P527" s="135"/>
      <c r="R527" s="135"/>
    </row>
    <row r="528" spans="4:18" ht="13.2">
      <c r="D528" s="82"/>
      <c r="K528" s="116"/>
      <c r="L528" s="135"/>
      <c r="N528" s="135"/>
      <c r="P528" s="135"/>
      <c r="R528" s="135"/>
    </row>
    <row r="529" spans="4:18" ht="13.2">
      <c r="D529" s="82"/>
      <c r="K529" s="116"/>
      <c r="L529" s="135"/>
      <c r="N529" s="135"/>
      <c r="P529" s="135"/>
      <c r="R529" s="135"/>
    </row>
    <row r="530" spans="4:18" ht="13.2">
      <c r="D530" s="82"/>
      <c r="K530" s="116"/>
      <c r="L530" s="135"/>
      <c r="N530" s="135"/>
      <c r="P530" s="135"/>
      <c r="R530" s="135"/>
    </row>
    <row r="531" spans="4:18" ht="13.2">
      <c r="D531" s="82"/>
      <c r="K531" s="116"/>
      <c r="L531" s="135"/>
      <c r="N531" s="135"/>
      <c r="P531" s="135"/>
      <c r="R531" s="135"/>
    </row>
    <row r="532" spans="4:18" ht="13.2">
      <c r="D532" s="82"/>
      <c r="K532" s="116"/>
      <c r="L532" s="135"/>
      <c r="N532" s="135"/>
      <c r="P532" s="135"/>
      <c r="R532" s="135"/>
    </row>
    <row r="533" spans="4:18" ht="13.2">
      <c r="D533" s="82"/>
      <c r="K533" s="116"/>
      <c r="L533" s="135"/>
      <c r="N533" s="135"/>
      <c r="P533" s="135"/>
      <c r="R533" s="135"/>
    </row>
    <row r="534" spans="4:18" ht="13.2">
      <c r="D534" s="82"/>
      <c r="K534" s="116"/>
      <c r="L534" s="135"/>
      <c r="N534" s="135"/>
      <c r="P534" s="135"/>
      <c r="R534" s="135"/>
    </row>
    <row r="535" spans="4:18" ht="13.2">
      <c r="D535" s="82"/>
      <c r="K535" s="116"/>
      <c r="L535" s="135"/>
      <c r="N535" s="135"/>
      <c r="P535" s="135"/>
      <c r="R535" s="135"/>
    </row>
    <row r="536" spans="4:18" ht="13.2">
      <c r="D536" s="82"/>
      <c r="K536" s="116"/>
      <c r="L536" s="135"/>
      <c r="N536" s="135"/>
      <c r="P536" s="135"/>
      <c r="R536" s="135"/>
    </row>
    <row r="537" spans="4:18" ht="13.2">
      <c r="D537" s="82"/>
      <c r="K537" s="116"/>
      <c r="L537" s="135"/>
      <c r="N537" s="135"/>
      <c r="P537" s="135"/>
      <c r="R537" s="135"/>
    </row>
    <row r="538" spans="4:18" ht="13.2">
      <c r="D538" s="82"/>
      <c r="K538" s="116"/>
      <c r="L538" s="135"/>
      <c r="N538" s="135"/>
      <c r="P538" s="135"/>
      <c r="R538" s="135"/>
    </row>
    <row r="539" spans="4:18" ht="13.2">
      <c r="D539" s="82"/>
      <c r="K539" s="116"/>
      <c r="L539" s="135"/>
      <c r="N539" s="135"/>
      <c r="P539" s="135"/>
      <c r="R539" s="135"/>
    </row>
    <row r="540" spans="4:18" ht="13.2">
      <c r="D540" s="82"/>
      <c r="K540" s="116"/>
      <c r="L540" s="135"/>
      <c r="N540" s="135"/>
      <c r="P540" s="135"/>
      <c r="R540" s="135"/>
    </row>
    <row r="541" spans="4:18" ht="13.2">
      <c r="D541" s="82"/>
      <c r="K541" s="116"/>
      <c r="L541" s="135"/>
      <c r="N541" s="135"/>
      <c r="P541" s="135"/>
      <c r="R541" s="135"/>
    </row>
    <row r="542" spans="4:18" ht="13.2">
      <c r="D542" s="82"/>
      <c r="K542" s="116"/>
      <c r="L542" s="135"/>
      <c r="N542" s="135"/>
      <c r="P542" s="135"/>
      <c r="R542" s="135"/>
    </row>
    <row r="543" spans="4:18" ht="13.2">
      <c r="D543" s="82"/>
      <c r="K543" s="116"/>
      <c r="L543" s="135"/>
      <c r="N543" s="135"/>
      <c r="P543" s="135"/>
      <c r="R543" s="135"/>
    </row>
    <row r="544" spans="4:18" ht="13.2">
      <c r="D544" s="82"/>
      <c r="K544" s="116"/>
      <c r="L544" s="135"/>
      <c r="N544" s="135"/>
      <c r="P544" s="135"/>
      <c r="R544" s="135"/>
    </row>
    <row r="545" spans="4:18" ht="13.2">
      <c r="D545" s="82"/>
      <c r="K545" s="116"/>
      <c r="L545" s="135"/>
      <c r="N545" s="135"/>
      <c r="P545" s="135"/>
      <c r="R545" s="135"/>
    </row>
    <row r="546" spans="4:18" ht="13.2">
      <c r="D546" s="82"/>
      <c r="K546" s="116"/>
      <c r="L546" s="135"/>
      <c r="N546" s="135"/>
      <c r="P546" s="135"/>
      <c r="R546" s="135"/>
    </row>
    <row r="547" spans="4:18" ht="13.2">
      <c r="D547" s="82"/>
      <c r="K547" s="116"/>
      <c r="L547" s="135"/>
      <c r="N547" s="135"/>
      <c r="P547" s="135"/>
      <c r="R547" s="135"/>
    </row>
    <row r="548" spans="4:18" ht="13.2">
      <c r="D548" s="82"/>
      <c r="K548" s="116"/>
      <c r="L548" s="135"/>
      <c r="N548" s="135"/>
      <c r="P548" s="135"/>
      <c r="R548" s="135"/>
    </row>
    <row r="549" spans="4:18" ht="13.2">
      <c r="D549" s="82"/>
      <c r="K549" s="116"/>
      <c r="L549" s="135"/>
      <c r="N549" s="135"/>
      <c r="P549" s="135"/>
      <c r="R549" s="135"/>
    </row>
    <row r="550" spans="4:18" ht="13.2">
      <c r="D550" s="82"/>
      <c r="K550" s="116"/>
      <c r="L550" s="135"/>
      <c r="N550" s="135"/>
      <c r="P550" s="135"/>
      <c r="R550" s="135"/>
    </row>
    <row r="551" spans="4:18" ht="13.2">
      <c r="D551" s="82"/>
      <c r="K551" s="116"/>
      <c r="L551" s="135"/>
      <c r="N551" s="135"/>
      <c r="P551" s="135"/>
      <c r="R551" s="135"/>
    </row>
    <row r="552" spans="4:18" ht="13.2">
      <c r="D552" s="82"/>
      <c r="K552" s="116"/>
      <c r="L552" s="135"/>
      <c r="N552" s="135"/>
      <c r="P552" s="135"/>
      <c r="R552" s="135"/>
    </row>
    <row r="553" spans="4:18" ht="13.2">
      <c r="D553" s="82"/>
      <c r="K553" s="116"/>
      <c r="L553" s="135"/>
      <c r="N553" s="135"/>
      <c r="P553" s="135"/>
      <c r="R553" s="135"/>
    </row>
    <row r="554" spans="4:18" ht="13.2">
      <c r="D554" s="82"/>
      <c r="K554" s="116"/>
      <c r="L554" s="135"/>
      <c r="N554" s="135"/>
      <c r="P554" s="135"/>
      <c r="R554" s="135"/>
    </row>
    <row r="555" spans="4:18" ht="13.2">
      <c r="D555" s="82"/>
      <c r="K555" s="116"/>
      <c r="L555" s="135"/>
      <c r="N555" s="135"/>
      <c r="P555" s="135"/>
      <c r="R555" s="135"/>
    </row>
    <row r="556" spans="4:18" ht="13.2">
      <c r="D556" s="82"/>
      <c r="K556" s="116"/>
      <c r="L556" s="135"/>
      <c r="N556" s="135"/>
      <c r="P556" s="135"/>
      <c r="R556" s="135"/>
    </row>
    <row r="557" spans="4:18" ht="13.2">
      <c r="D557" s="82"/>
      <c r="K557" s="116"/>
      <c r="L557" s="135"/>
      <c r="N557" s="135"/>
      <c r="P557" s="135"/>
      <c r="R557" s="135"/>
    </row>
    <row r="558" spans="4:18" ht="13.2">
      <c r="D558" s="82"/>
      <c r="K558" s="116"/>
      <c r="L558" s="135"/>
      <c r="N558" s="135"/>
      <c r="P558" s="135"/>
      <c r="R558" s="135"/>
    </row>
    <row r="559" spans="4:18" ht="13.2">
      <c r="D559" s="82"/>
      <c r="K559" s="116"/>
      <c r="L559" s="135"/>
      <c r="N559" s="135"/>
      <c r="P559" s="135"/>
      <c r="R559" s="135"/>
    </row>
    <row r="560" spans="4:18" ht="13.2">
      <c r="D560" s="82"/>
      <c r="K560" s="116"/>
      <c r="L560" s="135"/>
      <c r="N560" s="135"/>
      <c r="P560" s="135"/>
      <c r="R560" s="135"/>
    </row>
    <row r="561" spans="4:18" ht="13.2">
      <c r="D561" s="82"/>
      <c r="K561" s="116"/>
      <c r="L561" s="135"/>
      <c r="N561" s="135"/>
      <c r="P561" s="135"/>
      <c r="R561" s="135"/>
    </row>
    <row r="562" spans="4:18" ht="13.2">
      <c r="D562" s="82"/>
      <c r="K562" s="116"/>
      <c r="L562" s="135"/>
      <c r="N562" s="135"/>
      <c r="P562" s="135"/>
      <c r="R562" s="135"/>
    </row>
    <row r="563" spans="4:18" ht="13.2">
      <c r="D563" s="82"/>
      <c r="K563" s="116"/>
      <c r="L563" s="135"/>
      <c r="N563" s="135"/>
      <c r="P563" s="135"/>
      <c r="R563" s="135"/>
    </row>
    <row r="564" spans="4:18" ht="13.2">
      <c r="D564" s="82"/>
      <c r="K564" s="116"/>
      <c r="L564" s="135"/>
      <c r="N564" s="135"/>
      <c r="P564" s="135"/>
      <c r="R564" s="135"/>
    </row>
    <row r="565" spans="4:18" ht="13.2">
      <c r="D565" s="82"/>
      <c r="K565" s="116"/>
      <c r="L565" s="135"/>
      <c r="N565" s="135"/>
      <c r="P565" s="135"/>
      <c r="R565" s="135"/>
    </row>
    <row r="566" spans="4:18" ht="13.2">
      <c r="D566" s="82"/>
      <c r="K566" s="116"/>
      <c r="L566" s="135"/>
      <c r="N566" s="135"/>
      <c r="P566" s="135"/>
      <c r="R566" s="135"/>
    </row>
    <row r="567" spans="4:18" ht="13.2">
      <c r="D567" s="82"/>
      <c r="K567" s="116"/>
      <c r="L567" s="135"/>
      <c r="N567" s="135"/>
      <c r="P567" s="135"/>
      <c r="R567" s="135"/>
    </row>
    <row r="568" spans="4:18" ht="13.2">
      <c r="D568" s="82"/>
      <c r="K568" s="116"/>
      <c r="L568" s="135"/>
      <c r="N568" s="135"/>
      <c r="P568" s="135"/>
      <c r="R568" s="135"/>
    </row>
    <row r="569" spans="4:18" ht="13.2">
      <c r="D569" s="82"/>
      <c r="K569" s="116"/>
      <c r="L569" s="135"/>
      <c r="N569" s="135"/>
      <c r="P569" s="135"/>
      <c r="R569" s="135"/>
    </row>
    <row r="570" spans="4:18" ht="13.2">
      <c r="D570" s="82"/>
      <c r="K570" s="116"/>
      <c r="L570" s="135"/>
      <c r="N570" s="135"/>
      <c r="P570" s="135"/>
      <c r="R570" s="135"/>
    </row>
    <row r="571" spans="4:18" ht="13.2">
      <c r="D571" s="82"/>
      <c r="K571" s="116"/>
      <c r="L571" s="135"/>
      <c r="N571" s="135"/>
      <c r="P571" s="135"/>
      <c r="R571" s="135"/>
    </row>
    <row r="572" spans="4:18" ht="13.2">
      <c r="D572" s="82"/>
      <c r="K572" s="116"/>
      <c r="L572" s="135"/>
      <c r="N572" s="135"/>
      <c r="P572" s="135"/>
      <c r="R572" s="135"/>
    </row>
    <row r="573" spans="4:18" ht="13.2">
      <c r="D573" s="82"/>
      <c r="K573" s="116"/>
      <c r="L573" s="135"/>
      <c r="N573" s="135"/>
      <c r="P573" s="135"/>
      <c r="R573" s="135"/>
    </row>
    <row r="574" spans="4:18" ht="13.2">
      <c r="D574" s="82"/>
      <c r="K574" s="116"/>
      <c r="L574" s="135"/>
      <c r="N574" s="135"/>
      <c r="P574" s="135"/>
      <c r="R574" s="135"/>
    </row>
    <row r="575" spans="4:18" ht="13.2">
      <c r="D575" s="82"/>
      <c r="K575" s="116"/>
      <c r="L575" s="135"/>
      <c r="N575" s="135"/>
      <c r="P575" s="135"/>
      <c r="R575" s="135"/>
    </row>
    <row r="576" spans="4:18" ht="13.2">
      <c r="D576" s="82"/>
      <c r="K576" s="116"/>
      <c r="L576" s="135"/>
      <c r="N576" s="135"/>
      <c r="P576" s="135"/>
      <c r="R576" s="135"/>
    </row>
    <row r="577" spans="4:18" ht="13.2">
      <c r="D577" s="82"/>
      <c r="K577" s="116"/>
      <c r="L577" s="135"/>
      <c r="N577" s="135"/>
      <c r="P577" s="135"/>
      <c r="R577" s="135"/>
    </row>
    <row r="578" spans="4:18" ht="13.2">
      <c r="D578" s="82"/>
      <c r="K578" s="116"/>
      <c r="L578" s="135"/>
      <c r="N578" s="135"/>
      <c r="P578" s="135"/>
      <c r="R578" s="135"/>
    </row>
    <row r="579" spans="4:18" ht="13.2">
      <c r="D579" s="82"/>
      <c r="K579" s="116"/>
      <c r="L579" s="135"/>
      <c r="N579" s="135"/>
      <c r="P579" s="135"/>
      <c r="R579" s="135"/>
    </row>
    <row r="580" spans="4:18" ht="13.2">
      <c r="D580" s="82"/>
      <c r="K580" s="116"/>
      <c r="L580" s="135"/>
      <c r="N580" s="135"/>
      <c r="P580" s="135"/>
      <c r="R580" s="135"/>
    </row>
    <row r="581" spans="4:18" ht="13.2">
      <c r="D581" s="82"/>
      <c r="K581" s="116"/>
      <c r="L581" s="135"/>
      <c r="N581" s="135"/>
      <c r="P581" s="135"/>
      <c r="R581" s="135"/>
    </row>
    <row r="582" spans="4:18" ht="13.2">
      <c r="D582" s="82"/>
      <c r="K582" s="116"/>
      <c r="L582" s="135"/>
      <c r="N582" s="135"/>
      <c r="P582" s="135"/>
      <c r="R582" s="135"/>
    </row>
    <row r="583" spans="4:18" ht="13.2">
      <c r="D583" s="82"/>
      <c r="K583" s="116"/>
      <c r="L583" s="135"/>
      <c r="N583" s="135"/>
      <c r="P583" s="135"/>
      <c r="R583" s="135"/>
    </row>
    <row r="584" spans="4:18" ht="13.2">
      <c r="D584" s="82"/>
      <c r="K584" s="116"/>
      <c r="L584" s="135"/>
      <c r="N584" s="135"/>
      <c r="P584" s="135"/>
      <c r="R584" s="135"/>
    </row>
    <row r="585" spans="4:18" ht="13.2">
      <c r="D585" s="82"/>
      <c r="K585" s="116"/>
      <c r="L585" s="135"/>
      <c r="N585" s="135"/>
      <c r="P585" s="135"/>
      <c r="R585" s="135"/>
    </row>
    <row r="586" spans="4:18" ht="13.2">
      <c r="D586" s="82"/>
      <c r="K586" s="116"/>
      <c r="L586" s="135"/>
      <c r="N586" s="135"/>
      <c r="P586" s="135"/>
      <c r="R586" s="135"/>
    </row>
    <row r="587" spans="4:18" ht="13.2">
      <c r="D587" s="82"/>
      <c r="K587" s="116"/>
      <c r="L587" s="135"/>
      <c r="N587" s="135"/>
      <c r="P587" s="135"/>
      <c r="R587" s="135"/>
    </row>
    <row r="588" spans="4:18" ht="13.2">
      <c r="D588" s="82"/>
      <c r="K588" s="116"/>
      <c r="L588" s="135"/>
      <c r="N588" s="135"/>
      <c r="P588" s="135"/>
      <c r="R588" s="135"/>
    </row>
    <row r="589" spans="4:18" ht="13.2">
      <c r="D589" s="82"/>
      <c r="K589" s="116"/>
      <c r="L589" s="135"/>
      <c r="N589" s="135"/>
      <c r="P589" s="135"/>
      <c r="R589" s="135"/>
    </row>
    <row r="590" spans="4:18" ht="13.2">
      <c r="D590" s="82"/>
      <c r="K590" s="116"/>
      <c r="L590" s="135"/>
      <c r="N590" s="135"/>
      <c r="P590" s="135"/>
      <c r="R590" s="135"/>
    </row>
    <row r="591" spans="4:18" ht="13.2">
      <c r="D591" s="82"/>
      <c r="K591" s="116"/>
      <c r="L591" s="135"/>
      <c r="N591" s="135"/>
      <c r="P591" s="135"/>
      <c r="R591" s="135"/>
    </row>
    <row r="592" spans="4:18" ht="13.2">
      <c r="D592" s="82"/>
      <c r="K592" s="116"/>
      <c r="L592" s="135"/>
      <c r="N592" s="135"/>
      <c r="P592" s="135"/>
      <c r="R592" s="135"/>
    </row>
    <row r="593" spans="4:18" ht="13.2">
      <c r="D593" s="82"/>
      <c r="K593" s="116"/>
      <c r="L593" s="135"/>
      <c r="N593" s="135"/>
      <c r="P593" s="135"/>
      <c r="R593" s="135"/>
    </row>
    <row r="594" spans="4:18" ht="13.2">
      <c r="D594" s="82"/>
      <c r="K594" s="116"/>
      <c r="L594" s="135"/>
      <c r="N594" s="135"/>
      <c r="P594" s="135"/>
      <c r="R594" s="135"/>
    </row>
    <row r="595" spans="4:18" ht="13.2">
      <c r="D595" s="82"/>
      <c r="K595" s="116"/>
      <c r="L595" s="135"/>
      <c r="N595" s="135"/>
      <c r="P595" s="135"/>
      <c r="R595" s="135"/>
    </row>
    <row r="596" spans="4:18" ht="13.2">
      <c r="D596" s="82"/>
      <c r="K596" s="116"/>
      <c r="L596" s="135"/>
      <c r="N596" s="135"/>
      <c r="P596" s="135"/>
      <c r="R596" s="135"/>
    </row>
    <row r="597" spans="4:18" ht="13.2">
      <c r="D597" s="82"/>
      <c r="K597" s="116"/>
      <c r="L597" s="135"/>
      <c r="N597" s="135"/>
      <c r="P597" s="135"/>
      <c r="R597" s="135"/>
    </row>
    <row r="598" spans="4:18" ht="13.2">
      <c r="D598" s="82"/>
      <c r="K598" s="116"/>
      <c r="L598" s="135"/>
      <c r="N598" s="135"/>
      <c r="P598" s="135"/>
      <c r="R598" s="135"/>
    </row>
    <row r="599" spans="4:18" ht="13.2">
      <c r="D599" s="82"/>
      <c r="K599" s="116"/>
      <c r="L599" s="135"/>
      <c r="N599" s="135"/>
      <c r="P599" s="135"/>
      <c r="R599" s="135"/>
    </row>
    <row r="600" spans="4:18" ht="13.2">
      <c r="D600" s="82"/>
      <c r="K600" s="116"/>
      <c r="L600" s="135"/>
      <c r="N600" s="135"/>
      <c r="P600" s="135"/>
      <c r="R600" s="135"/>
    </row>
    <row r="601" spans="4:18" ht="13.2">
      <c r="D601" s="82"/>
      <c r="K601" s="116"/>
      <c r="L601" s="135"/>
      <c r="N601" s="135"/>
      <c r="P601" s="135"/>
      <c r="R601" s="135"/>
    </row>
    <row r="602" spans="4:18" ht="13.2">
      <c r="D602" s="82"/>
      <c r="K602" s="116"/>
      <c r="L602" s="135"/>
      <c r="N602" s="135"/>
      <c r="P602" s="135"/>
      <c r="R602" s="135"/>
    </row>
    <row r="603" spans="4:18" ht="13.2">
      <c r="D603" s="82"/>
      <c r="K603" s="116"/>
      <c r="L603" s="135"/>
      <c r="N603" s="135"/>
      <c r="P603" s="135"/>
      <c r="R603" s="135"/>
    </row>
    <row r="604" spans="4:18" ht="13.2">
      <c r="D604" s="82"/>
      <c r="K604" s="116"/>
      <c r="L604" s="135"/>
      <c r="N604" s="135"/>
      <c r="P604" s="135"/>
      <c r="R604" s="135"/>
    </row>
    <row r="605" spans="4:18" ht="13.2">
      <c r="D605" s="82"/>
      <c r="K605" s="116"/>
      <c r="L605" s="135"/>
      <c r="N605" s="135"/>
      <c r="P605" s="135"/>
      <c r="R605" s="135"/>
    </row>
    <row r="606" spans="4:18" ht="13.2">
      <c r="D606" s="82"/>
      <c r="K606" s="116"/>
      <c r="L606" s="135"/>
      <c r="N606" s="135"/>
      <c r="P606" s="135"/>
      <c r="R606" s="135"/>
    </row>
    <row r="607" spans="4:18" ht="13.2">
      <c r="D607" s="82"/>
      <c r="K607" s="116"/>
      <c r="L607" s="135"/>
      <c r="N607" s="135"/>
      <c r="P607" s="135"/>
      <c r="R607" s="135"/>
    </row>
    <row r="608" spans="4:18" ht="13.2">
      <c r="D608" s="82"/>
      <c r="K608" s="116"/>
      <c r="L608" s="135"/>
      <c r="N608" s="135"/>
      <c r="P608" s="135"/>
      <c r="R608" s="135"/>
    </row>
    <row r="609" spans="4:18" ht="13.2">
      <c r="D609" s="82"/>
      <c r="K609" s="116"/>
      <c r="L609" s="135"/>
      <c r="N609" s="135"/>
      <c r="P609" s="135"/>
      <c r="R609" s="135"/>
    </row>
    <row r="610" spans="4:18" ht="13.2">
      <c r="D610" s="82"/>
      <c r="K610" s="116"/>
      <c r="L610" s="135"/>
      <c r="N610" s="135"/>
      <c r="P610" s="135"/>
      <c r="R610" s="135"/>
    </row>
    <row r="611" spans="4:18" ht="13.2">
      <c r="D611" s="82"/>
      <c r="K611" s="116"/>
      <c r="L611" s="135"/>
      <c r="N611" s="135"/>
      <c r="P611" s="135"/>
      <c r="R611" s="135"/>
    </row>
    <row r="612" spans="4:18" ht="13.2">
      <c r="D612" s="82"/>
      <c r="K612" s="116"/>
      <c r="L612" s="135"/>
      <c r="N612" s="135"/>
      <c r="P612" s="135"/>
      <c r="R612" s="135"/>
    </row>
    <row r="613" spans="4:18" ht="13.2">
      <c r="D613" s="82"/>
      <c r="K613" s="116"/>
      <c r="L613" s="135"/>
      <c r="N613" s="135"/>
      <c r="P613" s="135"/>
      <c r="R613" s="135"/>
    </row>
    <row r="614" spans="4:18" ht="13.2">
      <c r="D614" s="82"/>
      <c r="K614" s="116"/>
      <c r="L614" s="135"/>
      <c r="N614" s="135"/>
      <c r="P614" s="135"/>
      <c r="R614" s="135"/>
    </row>
    <row r="615" spans="4:18" ht="13.2">
      <c r="D615" s="82"/>
      <c r="K615" s="116"/>
      <c r="L615" s="135"/>
      <c r="N615" s="135"/>
      <c r="P615" s="135"/>
      <c r="R615" s="135"/>
    </row>
    <row r="616" spans="4:18" ht="13.2">
      <c r="D616" s="82"/>
      <c r="K616" s="116"/>
      <c r="L616" s="135"/>
      <c r="N616" s="135"/>
      <c r="P616" s="135"/>
      <c r="R616" s="135"/>
    </row>
    <row r="617" spans="4:18" ht="13.2">
      <c r="D617" s="82"/>
      <c r="K617" s="116"/>
      <c r="L617" s="135"/>
      <c r="N617" s="135"/>
      <c r="P617" s="135"/>
      <c r="R617" s="135"/>
    </row>
    <row r="618" spans="4:18" ht="13.2">
      <c r="D618" s="82"/>
      <c r="K618" s="116"/>
      <c r="L618" s="135"/>
      <c r="N618" s="135"/>
      <c r="P618" s="135"/>
      <c r="R618" s="135"/>
    </row>
    <row r="619" spans="4:18" ht="13.2">
      <c r="D619" s="82"/>
      <c r="K619" s="116"/>
      <c r="L619" s="135"/>
      <c r="N619" s="135"/>
      <c r="P619" s="135"/>
      <c r="R619" s="135"/>
    </row>
    <row r="620" spans="4:18" ht="13.2">
      <c r="D620" s="82"/>
      <c r="K620" s="116"/>
      <c r="L620" s="135"/>
      <c r="N620" s="135"/>
      <c r="P620" s="135"/>
      <c r="R620" s="135"/>
    </row>
    <row r="621" spans="4:18" ht="13.2">
      <c r="D621" s="82"/>
      <c r="K621" s="116"/>
      <c r="L621" s="135"/>
      <c r="N621" s="135"/>
      <c r="P621" s="135"/>
      <c r="R621" s="135"/>
    </row>
    <row r="622" spans="4:18" ht="13.2">
      <c r="D622" s="82"/>
      <c r="K622" s="116"/>
      <c r="L622" s="135"/>
      <c r="N622" s="135"/>
      <c r="P622" s="135"/>
      <c r="R622" s="135"/>
    </row>
    <row r="623" spans="4:18" ht="13.2">
      <c r="D623" s="82"/>
      <c r="K623" s="116"/>
      <c r="L623" s="135"/>
      <c r="N623" s="135"/>
      <c r="P623" s="135"/>
      <c r="R623" s="135"/>
    </row>
    <row r="624" spans="4:18" ht="13.2">
      <c r="D624" s="82"/>
      <c r="K624" s="116"/>
      <c r="L624" s="135"/>
      <c r="N624" s="135"/>
      <c r="P624" s="135"/>
      <c r="R624" s="135"/>
    </row>
    <row r="625" spans="4:18" ht="13.2">
      <c r="D625" s="82"/>
      <c r="K625" s="116"/>
      <c r="L625" s="135"/>
      <c r="N625" s="135"/>
      <c r="P625" s="135"/>
      <c r="R625" s="135"/>
    </row>
    <row r="626" spans="4:18" ht="13.2">
      <c r="D626" s="82"/>
      <c r="K626" s="116"/>
      <c r="L626" s="135"/>
      <c r="N626" s="135"/>
      <c r="P626" s="135"/>
      <c r="R626" s="135"/>
    </row>
    <row r="627" spans="4:18" ht="13.2">
      <c r="D627" s="82"/>
      <c r="K627" s="116"/>
      <c r="L627" s="135"/>
      <c r="N627" s="135"/>
      <c r="P627" s="135"/>
      <c r="R627" s="135"/>
    </row>
    <row r="628" spans="4:18" ht="13.2">
      <c r="D628" s="82"/>
      <c r="K628" s="116"/>
      <c r="L628" s="135"/>
      <c r="N628" s="135"/>
      <c r="P628" s="135"/>
      <c r="R628" s="135"/>
    </row>
    <row r="629" spans="4:18" ht="13.2">
      <c r="D629" s="82"/>
      <c r="K629" s="116"/>
      <c r="L629" s="135"/>
      <c r="N629" s="135"/>
      <c r="P629" s="135"/>
      <c r="R629" s="135"/>
    </row>
    <row r="630" spans="4:18" ht="13.2">
      <c r="D630" s="82"/>
      <c r="K630" s="116"/>
      <c r="L630" s="135"/>
      <c r="N630" s="135"/>
      <c r="P630" s="135"/>
      <c r="R630" s="135"/>
    </row>
    <row r="631" spans="4:18" ht="13.2">
      <c r="D631" s="82"/>
      <c r="K631" s="116"/>
      <c r="L631" s="135"/>
      <c r="N631" s="135"/>
      <c r="P631" s="135"/>
      <c r="R631" s="135"/>
    </row>
    <row r="632" spans="4:18" ht="13.2">
      <c r="D632" s="82"/>
      <c r="K632" s="116"/>
      <c r="L632" s="135"/>
      <c r="N632" s="135"/>
      <c r="P632" s="135"/>
      <c r="R632" s="135"/>
    </row>
    <row r="633" spans="4:18" ht="13.2">
      <c r="D633" s="82"/>
      <c r="K633" s="116"/>
      <c r="L633" s="135"/>
      <c r="N633" s="135"/>
      <c r="P633" s="135"/>
      <c r="R633" s="135"/>
    </row>
    <row r="634" spans="4:18" ht="13.2">
      <c r="D634" s="82"/>
      <c r="K634" s="116"/>
      <c r="L634" s="135"/>
      <c r="N634" s="135"/>
      <c r="P634" s="135"/>
      <c r="R634" s="135"/>
    </row>
    <row r="635" spans="4:18" ht="13.2">
      <c r="D635" s="82"/>
      <c r="K635" s="116"/>
      <c r="L635" s="135"/>
      <c r="N635" s="135"/>
      <c r="P635" s="135"/>
      <c r="R635" s="135"/>
    </row>
    <row r="636" spans="4:18" ht="13.2">
      <c r="D636" s="82"/>
      <c r="K636" s="116"/>
      <c r="L636" s="135"/>
      <c r="N636" s="135"/>
      <c r="P636" s="135"/>
      <c r="R636" s="135"/>
    </row>
    <row r="637" spans="4:18" ht="13.2">
      <c r="D637" s="82"/>
      <c r="K637" s="116"/>
      <c r="L637" s="135"/>
      <c r="N637" s="135"/>
      <c r="P637" s="135"/>
      <c r="R637" s="135"/>
    </row>
    <row r="638" spans="4:18" ht="13.2">
      <c r="D638" s="82"/>
      <c r="K638" s="116"/>
      <c r="L638" s="135"/>
      <c r="N638" s="135"/>
      <c r="P638" s="135"/>
      <c r="R638" s="135"/>
    </row>
    <row r="639" spans="4:18" ht="13.2">
      <c r="D639" s="82"/>
      <c r="K639" s="116"/>
      <c r="L639" s="135"/>
      <c r="N639" s="135"/>
      <c r="P639" s="135"/>
      <c r="R639" s="135"/>
    </row>
    <row r="640" spans="4:18" ht="13.2">
      <c r="D640" s="82"/>
      <c r="K640" s="116"/>
      <c r="L640" s="135"/>
      <c r="N640" s="135"/>
      <c r="P640" s="135"/>
      <c r="R640" s="135"/>
    </row>
    <row r="641" spans="4:18" ht="13.2">
      <c r="D641" s="82"/>
      <c r="K641" s="116"/>
      <c r="L641" s="135"/>
      <c r="N641" s="135"/>
      <c r="P641" s="135"/>
      <c r="R641" s="135"/>
    </row>
    <row r="642" spans="4:18" ht="13.2">
      <c r="D642" s="82"/>
      <c r="K642" s="116"/>
      <c r="L642" s="135"/>
      <c r="N642" s="135"/>
      <c r="P642" s="135"/>
      <c r="R642" s="135"/>
    </row>
    <row r="643" spans="4:18" ht="13.2">
      <c r="D643" s="82"/>
      <c r="K643" s="116"/>
      <c r="L643" s="135"/>
      <c r="N643" s="135"/>
      <c r="P643" s="135"/>
      <c r="R643" s="135"/>
    </row>
    <row r="644" spans="4:18" ht="13.2">
      <c r="D644" s="82"/>
      <c r="K644" s="116"/>
      <c r="L644" s="135"/>
      <c r="N644" s="135"/>
      <c r="P644" s="135"/>
      <c r="R644" s="135"/>
    </row>
    <row r="645" spans="4:18" ht="13.2">
      <c r="D645" s="82"/>
      <c r="K645" s="116"/>
      <c r="L645" s="135"/>
      <c r="N645" s="135"/>
      <c r="P645" s="135"/>
      <c r="R645" s="135"/>
    </row>
    <row r="646" spans="4:18" ht="13.2">
      <c r="D646" s="82"/>
      <c r="K646" s="116"/>
      <c r="L646" s="135"/>
      <c r="N646" s="135"/>
      <c r="P646" s="135"/>
      <c r="R646" s="135"/>
    </row>
    <row r="647" spans="4:18" ht="13.2">
      <c r="D647" s="82"/>
      <c r="K647" s="116"/>
      <c r="L647" s="135"/>
      <c r="N647" s="135"/>
      <c r="P647" s="135"/>
      <c r="R647" s="135"/>
    </row>
    <row r="648" spans="4:18" ht="13.2">
      <c r="D648" s="82"/>
      <c r="K648" s="116"/>
      <c r="L648" s="135"/>
      <c r="N648" s="135"/>
      <c r="P648" s="135"/>
      <c r="R648" s="135"/>
    </row>
    <row r="649" spans="4:18" ht="13.2">
      <c r="D649" s="82"/>
      <c r="K649" s="116"/>
      <c r="L649" s="135"/>
      <c r="N649" s="135"/>
      <c r="P649" s="135"/>
      <c r="R649" s="135"/>
    </row>
    <row r="650" spans="4:18" ht="13.2">
      <c r="D650" s="82"/>
      <c r="K650" s="116"/>
      <c r="L650" s="135"/>
      <c r="N650" s="135"/>
      <c r="P650" s="135"/>
      <c r="R650" s="135"/>
    </row>
    <row r="651" spans="4:18" ht="13.2">
      <c r="D651" s="82"/>
      <c r="K651" s="116"/>
      <c r="L651" s="135"/>
      <c r="N651" s="135"/>
      <c r="P651" s="135"/>
      <c r="R651" s="135"/>
    </row>
    <row r="652" spans="4:18" ht="13.2">
      <c r="D652" s="82"/>
      <c r="K652" s="116"/>
      <c r="L652" s="135"/>
      <c r="N652" s="135"/>
      <c r="P652" s="135"/>
      <c r="R652" s="135"/>
    </row>
    <row r="653" spans="4:18" ht="13.2">
      <c r="D653" s="82"/>
      <c r="K653" s="116"/>
      <c r="L653" s="135"/>
      <c r="N653" s="135"/>
      <c r="P653" s="135"/>
      <c r="R653" s="135"/>
    </row>
    <row r="654" spans="4:18" ht="13.2">
      <c r="D654" s="82"/>
      <c r="K654" s="116"/>
      <c r="L654" s="135"/>
      <c r="N654" s="135"/>
      <c r="P654" s="135"/>
      <c r="R654" s="135"/>
    </row>
    <row r="655" spans="4:18" ht="13.2">
      <c r="D655" s="82"/>
      <c r="K655" s="116"/>
      <c r="L655" s="135"/>
      <c r="N655" s="135"/>
      <c r="P655" s="135"/>
      <c r="R655" s="135"/>
    </row>
    <row r="656" spans="4:18" ht="13.2">
      <c r="D656" s="82"/>
      <c r="K656" s="116"/>
      <c r="L656" s="135"/>
      <c r="N656" s="135"/>
      <c r="P656" s="135"/>
      <c r="R656" s="135"/>
    </row>
    <row r="657" spans="4:18" ht="13.2">
      <c r="D657" s="82"/>
      <c r="K657" s="116"/>
      <c r="L657" s="135"/>
      <c r="N657" s="135"/>
      <c r="P657" s="135"/>
      <c r="R657" s="135"/>
    </row>
    <row r="658" spans="4:18" ht="13.2">
      <c r="D658" s="82"/>
      <c r="K658" s="116"/>
      <c r="L658" s="135"/>
      <c r="N658" s="135"/>
      <c r="P658" s="135"/>
      <c r="R658" s="135"/>
    </row>
    <row r="659" spans="4:18" ht="13.2">
      <c r="D659" s="82"/>
      <c r="K659" s="116"/>
      <c r="L659" s="135"/>
      <c r="N659" s="135"/>
      <c r="P659" s="135"/>
      <c r="R659" s="135"/>
    </row>
    <row r="660" spans="4:18" ht="13.2">
      <c r="D660" s="82"/>
      <c r="K660" s="116"/>
      <c r="L660" s="135"/>
      <c r="N660" s="135"/>
      <c r="P660" s="135"/>
      <c r="R660" s="135"/>
    </row>
    <row r="661" spans="4:18" ht="13.2">
      <c r="D661" s="82"/>
      <c r="K661" s="116"/>
      <c r="L661" s="135"/>
      <c r="N661" s="135"/>
      <c r="P661" s="135"/>
      <c r="R661" s="135"/>
    </row>
    <row r="662" spans="4:18" ht="13.2">
      <c r="D662" s="82"/>
      <c r="K662" s="116"/>
      <c r="L662" s="135"/>
      <c r="N662" s="135"/>
      <c r="P662" s="135"/>
      <c r="R662" s="135"/>
    </row>
    <row r="663" spans="4:18" ht="13.2">
      <c r="D663" s="82"/>
      <c r="K663" s="116"/>
      <c r="L663" s="135"/>
      <c r="N663" s="135"/>
      <c r="P663" s="135"/>
      <c r="R663" s="135"/>
    </row>
    <row r="664" spans="4:18" ht="13.2">
      <c r="D664" s="82"/>
      <c r="K664" s="116"/>
      <c r="L664" s="135"/>
      <c r="N664" s="135"/>
      <c r="P664" s="135"/>
      <c r="R664" s="135"/>
    </row>
    <row r="665" spans="4:18" ht="13.2">
      <c r="D665" s="82"/>
      <c r="K665" s="116"/>
      <c r="L665" s="135"/>
      <c r="N665" s="135"/>
      <c r="P665" s="135"/>
      <c r="R665" s="135"/>
    </row>
    <row r="666" spans="4:18" ht="13.2">
      <c r="D666" s="82"/>
      <c r="K666" s="116"/>
      <c r="L666" s="135"/>
      <c r="N666" s="135"/>
      <c r="P666" s="135"/>
      <c r="R666" s="135"/>
    </row>
    <row r="667" spans="4:18" ht="13.2">
      <c r="D667" s="82"/>
      <c r="K667" s="116"/>
      <c r="L667" s="135"/>
      <c r="N667" s="135"/>
      <c r="P667" s="135"/>
      <c r="R667" s="135"/>
    </row>
    <row r="668" spans="4:18" ht="13.2">
      <c r="D668" s="82"/>
      <c r="K668" s="116"/>
      <c r="L668" s="135"/>
      <c r="N668" s="135"/>
      <c r="P668" s="135"/>
      <c r="R668" s="135"/>
    </row>
    <row r="669" spans="4:18" ht="13.2">
      <c r="D669" s="82"/>
      <c r="K669" s="116"/>
      <c r="L669" s="135"/>
      <c r="N669" s="135"/>
      <c r="P669" s="135"/>
      <c r="R669" s="135"/>
    </row>
    <row r="670" spans="4:18" ht="13.2">
      <c r="D670" s="82"/>
      <c r="K670" s="116"/>
      <c r="L670" s="135"/>
      <c r="N670" s="135"/>
      <c r="P670" s="135"/>
      <c r="R670" s="135"/>
    </row>
    <row r="671" spans="4:18" ht="13.2">
      <c r="D671" s="82"/>
      <c r="K671" s="116"/>
      <c r="L671" s="135"/>
      <c r="N671" s="135"/>
      <c r="P671" s="135"/>
      <c r="R671" s="135"/>
    </row>
    <row r="672" spans="4:18" ht="13.2">
      <c r="D672" s="82"/>
      <c r="K672" s="116"/>
      <c r="L672" s="135"/>
      <c r="N672" s="135"/>
      <c r="P672" s="135"/>
      <c r="R672" s="135"/>
    </row>
    <row r="673" spans="4:18" ht="13.2">
      <c r="D673" s="82"/>
      <c r="K673" s="116"/>
      <c r="L673" s="135"/>
      <c r="N673" s="135"/>
      <c r="P673" s="135"/>
      <c r="R673" s="135"/>
    </row>
    <row r="674" spans="4:18" ht="13.2">
      <c r="D674" s="82"/>
      <c r="K674" s="116"/>
      <c r="L674" s="135"/>
      <c r="N674" s="135"/>
      <c r="P674" s="135"/>
      <c r="R674" s="135"/>
    </row>
    <row r="675" spans="4:18" ht="13.2">
      <c r="D675" s="82"/>
      <c r="K675" s="116"/>
      <c r="L675" s="135"/>
      <c r="N675" s="135"/>
      <c r="P675" s="135"/>
      <c r="R675" s="135"/>
    </row>
    <row r="676" spans="4:18" ht="13.2">
      <c r="D676" s="82"/>
      <c r="K676" s="116"/>
      <c r="L676" s="135"/>
      <c r="N676" s="135"/>
      <c r="P676" s="135"/>
      <c r="R676" s="135"/>
    </row>
    <row r="677" spans="4:18" ht="13.2">
      <c r="D677" s="82"/>
      <c r="K677" s="116"/>
      <c r="L677" s="135"/>
      <c r="N677" s="135"/>
      <c r="P677" s="135"/>
      <c r="R677" s="135"/>
    </row>
    <row r="678" spans="4:18" ht="13.2">
      <c r="D678" s="82"/>
      <c r="K678" s="116"/>
      <c r="L678" s="135"/>
      <c r="N678" s="135"/>
      <c r="P678" s="135"/>
      <c r="R678" s="135"/>
    </row>
    <row r="679" spans="4:18" ht="13.2">
      <c r="D679" s="82"/>
      <c r="K679" s="116"/>
      <c r="L679" s="135"/>
      <c r="N679" s="135"/>
      <c r="P679" s="135"/>
      <c r="R679" s="135"/>
    </row>
    <row r="680" spans="4:18" ht="13.2">
      <c r="D680" s="82"/>
      <c r="K680" s="116"/>
      <c r="L680" s="135"/>
      <c r="N680" s="135"/>
      <c r="P680" s="135"/>
      <c r="R680" s="135"/>
    </row>
    <row r="681" spans="4:18" ht="13.2">
      <c r="D681" s="82"/>
      <c r="K681" s="116"/>
      <c r="L681" s="135"/>
      <c r="N681" s="135"/>
      <c r="P681" s="135"/>
      <c r="R681" s="135"/>
    </row>
    <row r="682" spans="4:18" ht="13.2">
      <c r="D682" s="82"/>
      <c r="K682" s="116"/>
      <c r="L682" s="135"/>
      <c r="N682" s="135"/>
      <c r="P682" s="135"/>
      <c r="R682" s="135"/>
    </row>
    <row r="683" spans="4:18" ht="13.2">
      <c r="D683" s="82"/>
      <c r="K683" s="116"/>
      <c r="L683" s="135"/>
      <c r="N683" s="135"/>
      <c r="P683" s="135"/>
      <c r="R683" s="135"/>
    </row>
    <row r="684" spans="4:18" ht="13.2">
      <c r="D684" s="82"/>
      <c r="K684" s="116"/>
      <c r="L684" s="135"/>
      <c r="N684" s="135"/>
      <c r="P684" s="135"/>
      <c r="R684" s="135"/>
    </row>
    <row r="685" spans="4:18" ht="13.2">
      <c r="D685" s="82"/>
      <c r="K685" s="116"/>
      <c r="L685" s="135"/>
      <c r="N685" s="135"/>
      <c r="P685" s="135"/>
      <c r="R685" s="135"/>
    </row>
    <row r="686" spans="4:18" ht="13.2">
      <c r="D686" s="82"/>
      <c r="K686" s="116"/>
      <c r="L686" s="135"/>
      <c r="N686" s="135"/>
      <c r="P686" s="135"/>
      <c r="R686" s="135"/>
    </row>
    <row r="687" spans="4:18" ht="13.2">
      <c r="D687" s="82"/>
      <c r="K687" s="116"/>
      <c r="L687" s="135"/>
      <c r="N687" s="135"/>
      <c r="P687" s="135"/>
      <c r="R687" s="135"/>
    </row>
    <row r="688" spans="4:18" ht="13.2">
      <c r="D688" s="82"/>
      <c r="K688" s="116"/>
      <c r="L688" s="135"/>
      <c r="N688" s="135"/>
      <c r="P688" s="135"/>
      <c r="R688" s="135"/>
    </row>
    <row r="689" spans="4:18" ht="13.2">
      <c r="D689" s="82"/>
      <c r="K689" s="116"/>
      <c r="L689" s="135"/>
      <c r="N689" s="135"/>
      <c r="P689" s="135"/>
      <c r="R689" s="135"/>
    </row>
    <row r="690" spans="4:18" ht="13.2">
      <c r="D690" s="82"/>
      <c r="K690" s="116"/>
      <c r="L690" s="135"/>
      <c r="N690" s="135"/>
      <c r="P690" s="135"/>
      <c r="R690" s="135"/>
    </row>
    <row r="691" spans="4:18" ht="13.2">
      <c r="D691" s="82"/>
      <c r="K691" s="116"/>
      <c r="L691" s="135"/>
      <c r="N691" s="135"/>
      <c r="P691" s="135"/>
      <c r="R691" s="135"/>
    </row>
    <row r="692" spans="4:18" ht="13.2">
      <c r="D692" s="82"/>
      <c r="K692" s="116"/>
      <c r="L692" s="135"/>
      <c r="N692" s="135"/>
      <c r="P692" s="135"/>
      <c r="R692" s="135"/>
    </row>
    <row r="693" spans="4:18" ht="13.2">
      <c r="D693" s="82"/>
      <c r="K693" s="116"/>
      <c r="L693" s="135"/>
      <c r="N693" s="135"/>
      <c r="P693" s="135"/>
      <c r="R693" s="135"/>
    </row>
    <row r="694" spans="4:18" ht="13.2">
      <c r="D694" s="82"/>
      <c r="K694" s="116"/>
      <c r="L694" s="135"/>
      <c r="N694" s="135"/>
      <c r="P694" s="135"/>
      <c r="R694" s="135"/>
    </row>
    <row r="695" spans="4:18" ht="13.2">
      <c r="D695" s="82"/>
      <c r="K695" s="116"/>
      <c r="L695" s="135"/>
      <c r="N695" s="135"/>
      <c r="P695" s="135"/>
      <c r="R695" s="135"/>
    </row>
    <row r="696" spans="4:18" ht="13.2">
      <c r="D696" s="82"/>
      <c r="K696" s="116"/>
      <c r="L696" s="135"/>
      <c r="N696" s="135"/>
      <c r="P696" s="135"/>
      <c r="R696" s="135"/>
    </row>
    <row r="697" spans="4:18" ht="13.2">
      <c r="D697" s="82"/>
      <c r="K697" s="116"/>
      <c r="L697" s="135"/>
      <c r="N697" s="135"/>
      <c r="P697" s="135"/>
      <c r="R697" s="135"/>
    </row>
    <row r="698" spans="4:18" ht="13.2">
      <c r="D698" s="82"/>
      <c r="K698" s="116"/>
      <c r="L698" s="135"/>
      <c r="N698" s="135"/>
      <c r="P698" s="135"/>
      <c r="R698" s="135"/>
    </row>
    <row r="699" spans="4:18" ht="13.2">
      <c r="D699" s="82"/>
      <c r="K699" s="116"/>
      <c r="L699" s="135"/>
      <c r="N699" s="135"/>
      <c r="P699" s="135"/>
      <c r="R699" s="135"/>
    </row>
    <row r="700" spans="4:18" ht="13.2">
      <c r="D700" s="82"/>
      <c r="K700" s="116"/>
      <c r="L700" s="135"/>
      <c r="N700" s="135"/>
      <c r="P700" s="135"/>
      <c r="R700" s="135"/>
    </row>
    <row r="701" spans="4:18" ht="13.2">
      <c r="D701" s="82"/>
      <c r="K701" s="116"/>
      <c r="L701" s="135"/>
      <c r="N701" s="135"/>
      <c r="P701" s="135"/>
      <c r="R701" s="135"/>
    </row>
    <row r="702" spans="4:18" ht="13.2">
      <c r="D702" s="82"/>
      <c r="K702" s="116"/>
      <c r="L702" s="135"/>
      <c r="N702" s="135"/>
      <c r="P702" s="135"/>
      <c r="R702" s="135"/>
    </row>
    <row r="703" spans="4:18" ht="13.2">
      <c r="D703" s="82"/>
      <c r="K703" s="116"/>
      <c r="L703" s="135"/>
      <c r="N703" s="135"/>
      <c r="P703" s="135"/>
      <c r="R703" s="135"/>
    </row>
    <row r="704" spans="4:18" ht="13.2">
      <c r="D704" s="82"/>
      <c r="K704" s="116"/>
      <c r="L704" s="135"/>
      <c r="N704" s="135"/>
      <c r="P704" s="135"/>
      <c r="R704" s="135"/>
    </row>
    <row r="705" spans="4:18" ht="13.2">
      <c r="D705" s="82"/>
      <c r="K705" s="116"/>
      <c r="L705" s="135"/>
      <c r="N705" s="135"/>
      <c r="P705" s="135"/>
      <c r="R705" s="135"/>
    </row>
    <row r="706" spans="4:18" ht="13.2">
      <c r="D706" s="82"/>
      <c r="K706" s="116"/>
      <c r="L706" s="135"/>
      <c r="N706" s="135"/>
      <c r="P706" s="135"/>
      <c r="R706" s="135"/>
    </row>
    <row r="707" spans="4:18" ht="13.2">
      <c r="D707" s="82"/>
      <c r="K707" s="116"/>
      <c r="L707" s="135"/>
      <c r="N707" s="135"/>
      <c r="P707" s="135"/>
      <c r="R707" s="135"/>
    </row>
    <row r="708" spans="4:18" ht="13.2">
      <c r="D708" s="82"/>
      <c r="K708" s="116"/>
      <c r="L708" s="135"/>
      <c r="N708" s="135"/>
      <c r="P708" s="135"/>
      <c r="R708" s="135"/>
    </row>
    <row r="709" spans="4:18" ht="13.2">
      <c r="D709" s="82"/>
      <c r="K709" s="116"/>
      <c r="L709" s="135"/>
      <c r="N709" s="135"/>
      <c r="P709" s="135"/>
      <c r="R709" s="135"/>
    </row>
    <row r="710" spans="4:18" ht="13.2">
      <c r="D710" s="82"/>
      <c r="K710" s="116"/>
      <c r="L710" s="135"/>
      <c r="N710" s="135"/>
      <c r="P710" s="135"/>
      <c r="R710" s="135"/>
    </row>
    <row r="711" spans="4:18" ht="13.2">
      <c r="D711" s="82"/>
      <c r="K711" s="116"/>
      <c r="L711" s="135"/>
      <c r="N711" s="135"/>
      <c r="P711" s="135"/>
      <c r="R711" s="135"/>
    </row>
    <row r="712" spans="4:18" ht="13.2">
      <c r="D712" s="82"/>
      <c r="K712" s="116"/>
      <c r="L712" s="135"/>
      <c r="N712" s="135"/>
      <c r="P712" s="135"/>
      <c r="R712" s="135"/>
    </row>
    <row r="713" spans="4:18" ht="13.2">
      <c r="D713" s="82"/>
      <c r="K713" s="116"/>
      <c r="L713" s="135"/>
      <c r="N713" s="135"/>
      <c r="P713" s="135"/>
      <c r="R713" s="135"/>
    </row>
    <row r="714" spans="4:18" ht="13.2">
      <c r="D714" s="82"/>
      <c r="K714" s="116"/>
      <c r="L714" s="135"/>
      <c r="N714" s="135"/>
      <c r="P714" s="135"/>
      <c r="R714" s="135"/>
    </row>
    <row r="715" spans="4:18" ht="13.2">
      <c r="D715" s="82"/>
      <c r="K715" s="116"/>
      <c r="L715" s="135"/>
      <c r="N715" s="135"/>
      <c r="P715" s="135"/>
      <c r="R715" s="135"/>
    </row>
    <row r="716" spans="4:18" ht="13.2">
      <c r="D716" s="82"/>
      <c r="K716" s="116"/>
      <c r="L716" s="135"/>
      <c r="N716" s="135"/>
      <c r="P716" s="135"/>
      <c r="R716" s="135"/>
    </row>
    <row r="717" spans="4:18" ht="13.2">
      <c r="D717" s="82"/>
      <c r="K717" s="116"/>
      <c r="L717" s="135"/>
      <c r="N717" s="135"/>
      <c r="P717" s="135"/>
      <c r="R717" s="135"/>
    </row>
    <row r="718" spans="4:18" ht="13.2">
      <c r="D718" s="82"/>
      <c r="K718" s="116"/>
      <c r="L718" s="135"/>
      <c r="N718" s="135"/>
      <c r="P718" s="135"/>
      <c r="R718" s="135"/>
    </row>
    <row r="719" spans="4:18" ht="13.2">
      <c r="D719" s="82"/>
      <c r="K719" s="116"/>
      <c r="L719" s="135"/>
      <c r="N719" s="135"/>
      <c r="P719" s="135"/>
      <c r="R719" s="135"/>
    </row>
    <row r="720" spans="4:18" ht="13.2">
      <c r="D720" s="82"/>
      <c r="K720" s="116"/>
      <c r="L720" s="135"/>
      <c r="N720" s="135"/>
      <c r="P720" s="135"/>
      <c r="R720" s="135"/>
    </row>
    <row r="721" spans="4:18" ht="13.2">
      <c r="D721" s="82"/>
      <c r="K721" s="116"/>
      <c r="L721" s="135"/>
      <c r="N721" s="135"/>
      <c r="P721" s="135"/>
      <c r="R721" s="135"/>
    </row>
    <row r="722" spans="4:18" ht="13.2">
      <c r="D722" s="82"/>
      <c r="K722" s="116"/>
      <c r="L722" s="135"/>
      <c r="N722" s="135"/>
      <c r="P722" s="135"/>
      <c r="R722" s="135"/>
    </row>
    <row r="723" spans="4:18" ht="13.2">
      <c r="D723" s="82"/>
      <c r="K723" s="116"/>
      <c r="L723" s="135"/>
      <c r="N723" s="135"/>
      <c r="P723" s="135"/>
      <c r="R723" s="135"/>
    </row>
    <row r="724" spans="4:18" ht="13.2">
      <c r="D724" s="82"/>
      <c r="K724" s="116"/>
      <c r="L724" s="135"/>
      <c r="N724" s="135"/>
      <c r="P724" s="135"/>
      <c r="R724" s="135"/>
    </row>
    <row r="725" spans="4:18" ht="13.2">
      <c r="D725" s="82"/>
      <c r="K725" s="116"/>
      <c r="L725" s="135"/>
      <c r="N725" s="135"/>
      <c r="P725" s="135"/>
      <c r="R725" s="135"/>
    </row>
    <row r="726" spans="4:18" ht="13.2">
      <c r="D726" s="82"/>
      <c r="K726" s="116"/>
      <c r="L726" s="135"/>
      <c r="N726" s="135"/>
      <c r="P726" s="135"/>
      <c r="R726" s="135"/>
    </row>
    <row r="727" spans="4:18" ht="13.2">
      <c r="D727" s="82"/>
      <c r="K727" s="116"/>
      <c r="L727" s="135"/>
      <c r="N727" s="135"/>
      <c r="P727" s="135"/>
      <c r="R727" s="135"/>
    </row>
    <row r="728" spans="4:18" ht="13.2">
      <c r="D728" s="82"/>
      <c r="K728" s="116"/>
      <c r="L728" s="135"/>
      <c r="N728" s="135"/>
      <c r="P728" s="135"/>
      <c r="R728" s="135"/>
    </row>
    <row r="729" spans="4:18" ht="13.2">
      <c r="D729" s="82"/>
      <c r="K729" s="116"/>
      <c r="L729" s="135"/>
      <c r="N729" s="135"/>
      <c r="P729" s="135"/>
      <c r="R729" s="135"/>
    </row>
    <row r="730" spans="4:18" ht="13.2">
      <c r="D730" s="82"/>
      <c r="K730" s="116"/>
      <c r="L730" s="135"/>
      <c r="N730" s="135"/>
      <c r="P730" s="135"/>
      <c r="R730" s="135"/>
    </row>
    <row r="731" spans="4:18" ht="13.2">
      <c r="D731" s="82"/>
      <c r="K731" s="116"/>
      <c r="L731" s="135"/>
      <c r="N731" s="135"/>
      <c r="P731" s="135"/>
      <c r="R731" s="135"/>
    </row>
    <row r="732" spans="4:18" ht="13.2">
      <c r="D732" s="82"/>
      <c r="K732" s="116"/>
      <c r="L732" s="135"/>
      <c r="N732" s="135"/>
      <c r="P732" s="135"/>
      <c r="R732" s="135"/>
    </row>
    <row r="733" spans="4:18" ht="13.2">
      <c r="D733" s="82"/>
      <c r="K733" s="116"/>
      <c r="L733" s="135"/>
      <c r="N733" s="135"/>
      <c r="P733" s="135"/>
      <c r="R733" s="135"/>
    </row>
    <row r="734" spans="4:18" ht="13.2">
      <c r="D734" s="82"/>
      <c r="K734" s="116"/>
      <c r="L734" s="135"/>
      <c r="N734" s="135"/>
      <c r="P734" s="135"/>
      <c r="R734" s="135"/>
    </row>
    <row r="735" spans="4:18" ht="13.2">
      <c r="D735" s="82"/>
      <c r="K735" s="116"/>
      <c r="L735" s="135"/>
      <c r="N735" s="135"/>
      <c r="P735" s="135"/>
      <c r="R735" s="135"/>
    </row>
    <row r="736" spans="4:18" ht="13.2">
      <c r="D736" s="82"/>
      <c r="K736" s="116"/>
      <c r="L736" s="135"/>
      <c r="N736" s="135"/>
      <c r="P736" s="135"/>
      <c r="R736" s="135"/>
    </row>
    <row r="737" spans="4:18" ht="13.2">
      <c r="D737" s="82"/>
      <c r="K737" s="116"/>
      <c r="L737" s="135"/>
      <c r="N737" s="135"/>
      <c r="P737" s="135"/>
      <c r="R737" s="135"/>
    </row>
    <row r="738" spans="4:18" ht="13.2">
      <c r="D738" s="82"/>
      <c r="K738" s="116"/>
      <c r="L738" s="135"/>
      <c r="N738" s="135"/>
      <c r="P738" s="135"/>
      <c r="R738" s="135"/>
    </row>
    <row r="739" spans="4:18" ht="13.2">
      <c r="D739" s="82"/>
      <c r="K739" s="116"/>
      <c r="L739" s="135"/>
      <c r="N739" s="135"/>
      <c r="P739" s="135"/>
      <c r="R739" s="135"/>
    </row>
    <row r="740" spans="4:18" ht="13.2">
      <c r="D740" s="82"/>
      <c r="K740" s="116"/>
      <c r="L740" s="135"/>
      <c r="N740" s="135"/>
      <c r="P740" s="135"/>
      <c r="R740" s="135"/>
    </row>
    <row r="741" spans="4:18" ht="13.2">
      <c r="D741" s="82"/>
      <c r="K741" s="116"/>
      <c r="L741" s="135"/>
      <c r="N741" s="135"/>
      <c r="P741" s="135"/>
      <c r="R741" s="135"/>
    </row>
    <row r="742" spans="4:18" ht="13.2">
      <c r="D742" s="82"/>
      <c r="K742" s="116"/>
      <c r="L742" s="135"/>
      <c r="N742" s="135"/>
      <c r="P742" s="135"/>
      <c r="R742" s="135"/>
    </row>
    <row r="743" spans="4:18" ht="13.2">
      <c r="D743" s="82"/>
      <c r="K743" s="116"/>
      <c r="L743" s="135"/>
      <c r="N743" s="135"/>
      <c r="P743" s="135"/>
      <c r="R743" s="135"/>
    </row>
    <row r="744" spans="4:18" ht="13.2">
      <c r="D744" s="82"/>
      <c r="K744" s="116"/>
      <c r="L744" s="135"/>
      <c r="N744" s="135"/>
      <c r="P744" s="135"/>
      <c r="R744" s="135"/>
    </row>
    <row r="745" spans="4:18" ht="13.2">
      <c r="D745" s="82"/>
      <c r="K745" s="116"/>
      <c r="L745" s="135"/>
      <c r="N745" s="135"/>
      <c r="P745" s="135"/>
      <c r="R745" s="135"/>
    </row>
    <row r="746" spans="4:18" ht="13.2">
      <c r="D746" s="82"/>
      <c r="K746" s="116"/>
      <c r="L746" s="135"/>
      <c r="N746" s="135"/>
      <c r="P746" s="135"/>
      <c r="R746" s="135"/>
    </row>
    <row r="747" spans="4:18" ht="13.2">
      <c r="D747" s="82"/>
      <c r="K747" s="116"/>
      <c r="L747" s="135"/>
      <c r="N747" s="135"/>
      <c r="P747" s="135"/>
      <c r="R747" s="135"/>
    </row>
    <row r="748" spans="4:18" ht="13.2">
      <c r="D748" s="82"/>
      <c r="K748" s="116"/>
      <c r="L748" s="135"/>
      <c r="N748" s="135"/>
      <c r="P748" s="135"/>
      <c r="R748" s="135"/>
    </row>
    <row r="749" spans="4:18" ht="13.2">
      <c r="D749" s="82"/>
      <c r="K749" s="116"/>
      <c r="L749" s="135"/>
      <c r="N749" s="135"/>
      <c r="P749" s="135"/>
      <c r="R749" s="135"/>
    </row>
    <row r="750" spans="4:18" ht="13.2">
      <c r="D750" s="82"/>
      <c r="K750" s="116"/>
      <c r="L750" s="135"/>
      <c r="N750" s="135"/>
      <c r="P750" s="135"/>
      <c r="R750" s="135"/>
    </row>
    <row r="751" spans="4:18" ht="13.2">
      <c r="D751" s="82"/>
      <c r="K751" s="116"/>
      <c r="L751" s="135"/>
      <c r="N751" s="135"/>
      <c r="P751" s="135"/>
      <c r="R751" s="135"/>
    </row>
    <row r="752" spans="4:18" ht="13.2">
      <c r="D752" s="82"/>
      <c r="K752" s="116"/>
      <c r="L752" s="135"/>
      <c r="N752" s="135"/>
      <c r="P752" s="135"/>
      <c r="R752" s="135"/>
    </row>
    <row r="753" spans="4:18" ht="13.2">
      <c r="D753" s="82"/>
      <c r="K753" s="116"/>
      <c r="L753" s="135"/>
      <c r="N753" s="135"/>
      <c r="P753" s="135"/>
      <c r="R753" s="135"/>
    </row>
    <row r="754" spans="4:18" ht="13.2">
      <c r="D754" s="82"/>
      <c r="K754" s="116"/>
      <c r="L754" s="135"/>
      <c r="N754" s="135"/>
      <c r="P754" s="135"/>
      <c r="R754" s="135"/>
    </row>
    <row r="755" spans="4:18" ht="13.2">
      <c r="D755" s="82"/>
      <c r="K755" s="116"/>
      <c r="L755" s="135"/>
      <c r="N755" s="135"/>
      <c r="P755" s="135"/>
      <c r="R755" s="135"/>
    </row>
    <row r="756" spans="4:18" ht="13.2">
      <c r="D756" s="82"/>
      <c r="K756" s="116"/>
      <c r="L756" s="135"/>
      <c r="N756" s="135"/>
      <c r="P756" s="135"/>
      <c r="R756" s="135"/>
    </row>
    <row r="757" spans="4:18" ht="13.2">
      <c r="D757" s="82"/>
      <c r="K757" s="116"/>
      <c r="L757" s="135"/>
      <c r="N757" s="135"/>
      <c r="P757" s="135"/>
      <c r="R757" s="135"/>
    </row>
    <row r="758" spans="4:18" ht="13.2">
      <c r="D758" s="82"/>
      <c r="K758" s="116"/>
      <c r="L758" s="135"/>
      <c r="N758" s="135"/>
      <c r="P758" s="135"/>
      <c r="R758" s="135"/>
    </row>
    <row r="759" spans="4:18" ht="13.2">
      <c r="D759" s="82"/>
      <c r="K759" s="116"/>
      <c r="L759" s="135"/>
      <c r="N759" s="135"/>
      <c r="P759" s="135"/>
      <c r="R759" s="135"/>
    </row>
    <row r="760" spans="4:18" ht="13.2">
      <c r="D760" s="82"/>
      <c r="K760" s="116"/>
      <c r="L760" s="135"/>
      <c r="N760" s="135"/>
      <c r="P760" s="135"/>
      <c r="R760" s="135"/>
    </row>
    <row r="761" spans="4:18" ht="13.2">
      <c r="D761" s="82"/>
      <c r="K761" s="116"/>
      <c r="L761" s="135"/>
      <c r="N761" s="135"/>
      <c r="P761" s="135"/>
      <c r="R761" s="135"/>
    </row>
    <row r="762" spans="4:18" ht="13.2">
      <c r="D762" s="82"/>
      <c r="K762" s="116"/>
      <c r="L762" s="135"/>
      <c r="N762" s="135"/>
      <c r="P762" s="135"/>
      <c r="R762" s="135"/>
    </row>
    <row r="763" spans="4:18" ht="13.2">
      <c r="D763" s="82"/>
      <c r="K763" s="116"/>
      <c r="L763" s="135"/>
      <c r="N763" s="135"/>
      <c r="P763" s="135"/>
      <c r="R763" s="135"/>
    </row>
    <row r="764" spans="4:18" ht="13.2">
      <c r="D764" s="82"/>
      <c r="K764" s="116"/>
      <c r="L764" s="135"/>
      <c r="N764" s="135"/>
      <c r="P764" s="135"/>
      <c r="R764" s="135"/>
    </row>
    <row r="765" spans="4:18" ht="13.2">
      <c r="D765" s="82"/>
      <c r="K765" s="116"/>
      <c r="L765" s="135"/>
      <c r="N765" s="135"/>
      <c r="P765" s="135"/>
      <c r="R765" s="135"/>
    </row>
    <row r="766" spans="4:18" ht="13.2">
      <c r="D766" s="82"/>
      <c r="K766" s="116"/>
      <c r="L766" s="135"/>
      <c r="N766" s="135"/>
      <c r="P766" s="135"/>
      <c r="R766" s="135"/>
    </row>
    <row r="767" spans="4:18" ht="13.2">
      <c r="D767" s="82"/>
      <c r="K767" s="116"/>
      <c r="L767" s="135"/>
      <c r="N767" s="135"/>
      <c r="P767" s="135"/>
      <c r="R767" s="135"/>
    </row>
    <row r="768" spans="4:18" ht="13.2">
      <c r="D768" s="82"/>
      <c r="K768" s="116"/>
      <c r="L768" s="135"/>
      <c r="N768" s="135"/>
      <c r="P768" s="135"/>
      <c r="R768" s="135"/>
    </row>
    <row r="769" spans="4:18" ht="13.2">
      <c r="D769" s="82"/>
      <c r="K769" s="116"/>
      <c r="L769" s="135"/>
      <c r="N769" s="135"/>
      <c r="P769" s="135"/>
      <c r="R769" s="135"/>
    </row>
    <row r="770" spans="4:18" ht="13.2">
      <c r="D770" s="82"/>
      <c r="K770" s="116"/>
      <c r="L770" s="135"/>
      <c r="N770" s="135"/>
      <c r="P770" s="135"/>
      <c r="R770" s="135"/>
    </row>
    <row r="771" spans="4:18" ht="13.2">
      <c r="D771" s="82"/>
      <c r="K771" s="116"/>
      <c r="L771" s="135"/>
      <c r="N771" s="135"/>
      <c r="P771" s="135"/>
      <c r="R771" s="135"/>
    </row>
    <row r="772" spans="4:18" ht="13.2">
      <c r="D772" s="82"/>
      <c r="K772" s="116"/>
      <c r="L772" s="135"/>
      <c r="N772" s="135"/>
      <c r="P772" s="135"/>
      <c r="R772" s="135"/>
    </row>
    <row r="773" spans="4:18" ht="13.2">
      <c r="D773" s="82"/>
      <c r="K773" s="116"/>
      <c r="L773" s="135"/>
      <c r="N773" s="135"/>
      <c r="P773" s="135"/>
      <c r="R773" s="135"/>
    </row>
    <row r="774" spans="4:18" ht="13.2">
      <c r="D774" s="82"/>
      <c r="K774" s="116"/>
      <c r="L774" s="135"/>
      <c r="N774" s="135"/>
      <c r="P774" s="135"/>
      <c r="R774" s="135"/>
    </row>
    <row r="775" spans="4:18" ht="13.2">
      <c r="D775" s="82"/>
      <c r="K775" s="116"/>
      <c r="L775" s="135"/>
      <c r="N775" s="135"/>
      <c r="P775" s="135"/>
      <c r="R775" s="135"/>
    </row>
    <row r="776" spans="4:18" ht="13.2">
      <c r="D776" s="82"/>
      <c r="K776" s="116"/>
      <c r="L776" s="135"/>
      <c r="N776" s="135"/>
      <c r="P776" s="135"/>
      <c r="R776" s="135"/>
    </row>
    <row r="777" spans="4:18" ht="13.2">
      <c r="D777" s="82"/>
      <c r="K777" s="116"/>
      <c r="L777" s="135"/>
      <c r="N777" s="135"/>
      <c r="P777" s="135"/>
      <c r="R777" s="135"/>
    </row>
    <row r="778" spans="4:18" ht="13.2">
      <c r="D778" s="82"/>
      <c r="K778" s="116"/>
      <c r="L778" s="135"/>
      <c r="N778" s="135"/>
      <c r="P778" s="135"/>
      <c r="R778" s="135"/>
    </row>
    <row r="779" spans="4:18" ht="13.2">
      <c r="D779" s="82"/>
      <c r="K779" s="116"/>
      <c r="L779" s="135"/>
      <c r="N779" s="135"/>
      <c r="P779" s="135"/>
      <c r="R779" s="135"/>
    </row>
    <row r="780" spans="4:18" ht="13.2">
      <c r="D780" s="82"/>
      <c r="K780" s="116"/>
      <c r="L780" s="135"/>
      <c r="N780" s="135"/>
      <c r="P780" s="135"/>
      <c r="R780" s="135"/>
    </row>
    <row r="781" spans="4:18" ht="13.2">
      <c r="D781" s="82"/>
      <c r="K781" s="116"/>
      <c r="L781" s="135"/>
      <c r="N781" s="135"/>
      <c r="P781" s="135"/>
      <c r="R781" s="135"/>
    </row>
    <row r="782" spans="4:18" ht="13.2">
      <c r="D782" s="82"/>
      <c r="K782" s="116"/>
      <c r="L782" s="135"/>
      <c r="N782" s="135"/>
      <c r="P782" s="135"/>
      <c r="R782" s="135"/>
    </row>
    <row r="783" spans="4:18" ht="13.2">
      <c r="D783" s="82"/>
      <c r="K783" s="116"/>
      <c r="L783" s="135"/>
      <c r="N783" s="135"/>
      <c r="P783" s="135"/>
      <c r="R783" s="135"/>
    </row>
    <row r="784" spans="4:18" ht="13.2">
      <c r="D784" s="82"/>
      <c r="K784" s="116"/>
      <c r="L784" s="135"/>
      <c r="N784" s="135"/>
      <c r="P784" s="135"/>
      <c r="R784" s="135"/>
    </row>
    <row r="785" spans="4:18" ht="13.2">
      <c r="D785" s="82"/>
      <c r="K785" s="116"/>
      <c r="L785" s="135"/>
      <c r="N785" s="135"/>
      <c r="P785" s="135"/>
      <c r="R785" s="135"/>
    </row>
    <row r="786" spans="4:18" ht="13.2">
      <c r="D786" s="82"/>
      <c r="K786" s="116"/>
      <c r="L786" s="135"/>
      <c r="N786" s="135"/>
      <c r="P786" s="135"/>
      <c r="R786" s="135"/>
    </row>
    <row r="787" spans="4:18" ht="13.2">
      <c r="D787" s="82"/>
      <c r="K787" s="116"/>
      <c r="L787" s="135"/>
      <c r="N787" s="135"/>
      <c r="P787" s="135"/>
      <c r="R787" s="135"/>
    </row>
    <row r="788" spans="4:18" ht="13.2">
      <c r="D788" s="82"/>
      <c r="K788" s="116"/>
      <c r="L788" s="135"/>
      <c r="N788" s="135"/>
      <c r="P788" s="135"/>
      <c r="R788" s="135"/>
    </row>
    <row r="789" spans="4:18" ht="13.2">
      <c r="D789" s="82"/>
      <c r="K789" s="116"/>
      <c r="L789" s="135"/>
      <c r="N789" s="135"/>
      <c r="P789" s="135"/>
      <c r="R789" s="135"/>
    </row>
    <row r="790" spans="4:18" ht="13.2">
      <c r="D790" s="82"/>
      <c r="K790" s="116"/>
      <c r="L790" s="135"/>
      <c r="N790" s="135"/>
      <c r="P790" s="135"/>
      <c r="R790" s="135"/>
    </row>
    <row r="791" spans="4:18" ht="13.2">
      <c r="D791" s="82"/>
      <c r="K791" s="116"/>
      <c r="L791" s="135"/>
      <c r="N791" s="135"/>
      <c r="P791" s="135"/>
      <c r="R791" s="135"/>
    </row>
    <row r="792" spans="4:18" ht="13.2">
      <c r="D792" s="82"/>
      <c r="K792" s="116"/>
      <c r="L792" s="135"/>
      <c r="N792" s="135"/>
      <c r="P792" s="135"/>
      <c r="R792" s="135"/>
    </row>
    <row r="793" spans="4:18" ht="13.2">
      <c r="D793" s="82"/>
      <c r="K793" s="116"/>
      <c r="L793" s="135"/>
      <c r="N793" s="135"/>
      <c r="P793" s="135"/>
      <c r="R793" s="135"/>
    </row>
    <row r="794" spans="4:18" ht="13.2">
      <c r="D794" s="82"/>
      <c r="K794" s="116"/>
      <c r="L794" s="135"/>
      <c r="N794" s="135"/>
      <c r="P794" s="135"/>
      <c r="R794" s="135"/>
    </row>
    <row r="795" spans="4:18" ht="13.2">
      <c r="D795" s="82"/>
      <c r="K795" s="116"/>
      <c r="L795" s="135"/>
      <c r="N795" s="135"/>
      <c r="P795" s="135"/>
      <c r="R795" s="135"/>
    </row>
    <row r="796" spans="4:18" ht="13.2">
      <c r="D796" s="82"/>
      <c r="K796" s="116"/>
      <c r="L796" s="135"/>
      <c r="N796" s="135"/>
      <c r="P796" s="135"/>
      <c r="R796" s="135"/>
    </row>
    <row r="797" spans="4:18" ht="13.2">
      <c r="D797" s="82"/>
      <c r="K797" s="116"/>
      <c r="L797" s="135"/>
      <c r="N797" s="135"/>
      <c r="P797" s="135"/>
      <c r="R797" s="135"/>
    </row>
    <row r="798" spans="4:18" ht="13.2">
      <c r="D798" s="82"/>
      <c r="K798" s="116"/>
      <c r="L798" s="135"/>
      <c r="N798" s="135"/>
      <c r="P798" s="135"/>
      <c r="R798" s="135"/>
    </row>
    <row r="799" spans="4:18" ht="13.2">
      <c r="D799" s="82"/>
      <c r="K799" s="116"/>
      <c r="L799" s="135"/>
      <c r="N799" s="135"/>
      <c r="P799" s="135"/>
      <c r="R799" s="135"/>
    </row>
    <row r="800" spans="4:18" ht="13.2">
      <c r="D800" s="82"/>
      <c r="K800" s="116"/>
      <c r="L800" s="135"/>
      <c r="N800" s="135"/>
      <c r="P800" s="135"/>
      <c r="R800" s="135"/>
    </row>
    <row r="801" spans="4:18" ht="13.2">
      <c r="D801" s="82"/>
      <c r="K801" s="116"/>
      <c r="L801" s="135"/>
      <c r="N801" s="135"/>
      <c r="P801" s="135"/>
      <c r="R801" s="135"/>
    </row>
    <row r="802" spans="4:18" ht="13.2">
      <c r="D802" s="82"/>
      <c r="K802" s="116"/>
      <c r="L802" s="135"/>
      <c r="N802" s="135"/>
      <c r="P802" s="135"/>
      <c r="R802" s="135"/>
    </row>
    <row r="803" spans="4:18" ht="13.2">
      <c r="D803" s="82"/>
      <c r="K803" s="116"/>
      <c r="L803" s="135"/>
      <c r="N803" s="135"/>
      <c r="P803" s="135"/>
      <c r="R803" s="135"/>
    </row>
    <row r="804" spans="4:18" ht="13.2">
      <c r="D804" s="82"/>
      <c r="K804" s="116"/>
      <c r="L804" s="135"/>
      <c r="N804" s="135"/>
      <c r="P804" s="135"/>
      <c r="R804" s="135"/>
    </row>
    <row r="805" spans="4:18" ht="13.2">
      <c r="D805" s="82"/>
      <c r="K805" s="116"/>
      <c r="L805" s="135"/>
      <c r="N805" s="135"/>
      <c r="P805" s="135"/>
      <c r="R805" s="135"/>
    </row>
    <row r="806" spans="4:18" ht="13.2">
      <c r="D806" s="82"/>
      <c r="K806" s="116"/>
      <c r="L806" s="135"/>
      <c r="N806" s="135"/>
      <c r="P806" s="135"/>
      <c r="R806" s="135"/>
    </row>
    <row r="807" spans="4:18" ht="13.2">
      <c r="D807" s="82"/>
      <c r="K807" s="116"/>
      <c r="L807" s="135"/>
      <c r="N807" s="135"/>
      <c r="P807" s="135"/>
      <c r="R807" s="135"/>
    </row>
    <row r="808" spans="4:18" ht="13.2">
      <c r="D808" s="82"/>
      <c r="K808" s="116"/>
      <c r="L808" s="135"/>
      <c r="N808" s="135"/>
      <c r="P808" s="135"/>
      <c r="R808" s="135"/>
    </row>
    <row r="809" spans="4:18" ht="13.2">
      <c r="D809" s="82"/>
      <c r="K809" s="116"/>
      <c r="L809" s="135"/>
      <c r="N809" s="135"/>
      <c r="P809" s="135"/>
      <c r="R809" s="135"/>
    </row>
    <row r="810" spans="4:18" ht="13.2">
      <c r="D810" s="82"/>
      <c r="K810" s="116"/>
      <c r="L810" s="135"/>
      <c r="N810" s="135"/>
      <c r="P810" s="135"/>
      <c r="R810" s="135"/>
    </row>
    <row r="811" spans="4:18" ht="13.2">
      <c r="D811" s="82"/>
      <c r="K811" s="116"/>
      <c r="L811" s="135"/>
      <c r="N811" s="135"/>
      <c r="P811" s="135"/>
      <c r="R811" s="135"/>
    </row>
    <row r="812" spans="4:18" ht="13.2">
      <c r="D812" s="82"/>
      <c r="K812" s="116"/>
      <c r="L812" s="135"/>
      <c r="N812" s="135"/>
      <c r="P812" s="135"/>
      <c r="R812" s="135"/>
    </row>
    <row r="813" spans="4:18" ht="13.2">
      <c r="D813" s="82"/>
      <c r="K813" s="116"/>
      <c r="L813" s="135"/>
      <c r="N813" s="135"/>
      <c r="P813" s="135"/>
      <c r="R813" s="135"/>
    </row>
    <row r="814" spans="4:18" ht="13.2">
      <c r="D814" s="82"/>
      <c r="K814" s="116"/>
      <c r="L814" s="135"/>
      <c r="N814" s="135"/>
      <c r="P814" s="135"/>
      <c r="R814" s="135"/>
    </row>
    <row r="815" spans="4:18" ht="13.2">
      <c r="D815" s="82"/>
      <c r="K815" s="116"/>
      <c r="L815" s="135"/>
      <c r="N815" s="135"/>
      <c r="P815" s="135"/>
      <c r="R815" s="135"/>
    </row>
    <row r="816" spans="4:18" ht="13.2">
      <c r="D816" s="82"/>
      <c r="K816" s="116"/>
      <c r="L816" s="135"/>
      <c r="N816" s="135"/>
      <c r="P816" s="135"/>
      <c r="R816" s="135"/>
    </row>
    <row r="817" spans="4:18" ht="13.2">
      <c r="D817" s="82"/>
      <c r="K817" s="116"/>
      <c r="L817" s="135"/>
      <c r="N817" s="135"/>
      <c r="P817" s="135"/>
      <c r="R817" s="135"/>
    </row>
    <row r="818" spans="4:18" ht="13.2">
      <c r="D818" s="82"/>
      <c r="K818" s="116"/>
      <c r="L818" s="135"/>
      <c r="N818" s="135"/>
      <c r="P818" s="135"/>
      <c r="R818" s="135"/>
    </row>
    <row r="819" spans="4:18" ht="13.2">
      <c r="D819" s="82"/>
      <c r="K819" s="116"/>
      <c r="L819" s="135"/>
      <c r="N819" s="135"/>
      <c r="P819" s="135"/>
      <c r="R819" s="135"/>
    </row>
    <row r="820" spans="4:18" ht="13.2">
      <c r="D820" s="82"/>
      <c r="K820" s="116"/>
      <c r="L820" s="135"/>
      <c r="N820" s="135"/>
      <c r="P820" s="135"/>
      <c r="R820" s="135"/>
    </row>
    <row r="821" spans="4:18" ht="13.2">
      <c r="D821" s="82"/>
      <c r="K821" s="116"/>
      <c r="L821" s="135"/>
      <c r="N821" s="135"/>
      <c r="P821" s="135"/>
      <c r="R821" s="135"/>
    </row>
    <row r="822" spans="4:18" ht="13.2">
      <c r="D822" s="82"/>
      <c r="K822" s="116"/>
      <c r="L822" s="135"/>
      <c r="N822" s="135"/>
      <c r="P822" s="135"/>
      <c r="R822" s="135"/>
    </row>
    <row r="823" spans="4:18" ht="13.2">
      <c r="D823" s="82"/>
      <c r="K823" s="116"/>
      <c r="L823" s="135"/>
      <c r="N823" s="135"/>
      <c r="P823" s="135"/>
      <c r="R823" s="135"/>
    </row>
    <row r="824" spans="4:18" ht="13.2">
      <c r="D824" s="82"/>
      <c r="K824" s="116"/>
      <c r="L824" s="135"/>
      <c r="N824" s="135"/>
      <c r="P824" s="135"/>
      <c r="R824" s="135"/>
    </row>
    <row r="825" spans="4:18" ht="13.2">
      <c r="D825" s="82"/>
      <c r="K825" s="116"/>
      <c r="L825" s="135"/>
      <c r="N825" s="135"/>
      <c r="P825" s="135"/>
      <c r="R825" s="135"/>
    </row>
    <row r="826" spans="4:18" ht="13.2">
      <c r="D826" s="82"/>
      <c r="K826" s="116"/>
      <c r="L826" s="135"/>
      <c r="N826" s="135"/>
      <c r="P826" s="135"/>
      <c r="R826" s="135"/>
    </row>
    <row r="827" spans="4:18" ht="13.2">
      <c r="D827" s="82"/>
      <c r="K827" s="116"/>
      <c r="L827" s="135"/>
      <c r="N827" s="135"/>
      <c r="P827" s="135"/>
      <c r="R827" s="135"/>
    </row>
    <row r="828" spans="4:18" ht="13.2">
      <c r="D828" s="82"/>
      <c r="K828" s="116"/>
      <c r="L828" s="135"/>
      <c r="N828" s="135"/>
      <c r="P828" s="135"/>
      <c r="R828" s="135"/>
    </row>
    <row r="829" spans="4:18" ht="13.2">
      <c r="D829" s="82"/>
      <c r="K829" s="116"/>
      <c r="L829" s="135"/>
      <c r="N829" s="135"/>
      <c r="P829" s="135"/>
      <c r="R829" s="135"/>
    </row>
    <row r="830" spans="4:18" ht="13.2">
      <c r="D830" s="82"/>
      <c r="K830" s="116"/>
      <c r="L830" s="135"/>
      <c r="N830" s="135"/>
      <c r="P830" s="135"/>
      <c r="R830" s="135"/>
    </row>
    <row r="831" spans="4:18" ht="13.2">
      <c r="D831" s="82"/>
      <c r="K831" s="116"/>
      <c r="L831" s="135"/>
      <c r="N831" s="135"/>
      <c r="P831" s="135"/>
      <c r="R831" s="135"/>
    </row>
    <row r="832" spans="4:18" ht="13.2">
      <c r="D832" s="82"/>
      <c r="K832" s="116"/>
      <c r="L832" s="135"/>
      <c r="N832" s="135"/>
      <c r="P832" s="135"/>
      <c r="R832" s="135"/>
    </row>
    <row r="833" spans="4:18" ht="13.2">
      <c r="D833" s="82"/>
      <c r="K833" s="116"/>
      <c r="L833" s="135"/>
      <c r="N833" s="135"/>
      <c r="P833" s="135"/>
      <c r="R833" s="135"/>
    </row>
    <row r="834" spans="4:18" ht="13.2">
      <c r="D834" s="82"/>
      <c r="K834" s="116"/>
      <c r="L834" s="135"/>
      <c r="N834" s="135"/>
      <c r="P834" s="135"/>
      <c r="R834" s="135"/>
    </row>
    <row r="835" spans="4:18" ht="13.2">
      <c r="D835" s="82"/>
      <c r="K835" s="116"/>
      <c r="L835" s="135"/>
      <c r="N835" s="135"/>
      <c r="P835" s="135"/>
      <c r="R835" s="135"/>
    </row>
    <row r="836" spans="4:18" ht="13.2">
      <c r="D836" s="82"/>
      <c r="K836" s="116"/>
      <c r="L836" s="135"/>
      <c r="N836" s="135"/>
      <c r="P836" s="135"/>
      <c r="R836" s="135"/>
    </row>
    <row r="837" spans="4:18" ht="13.2">
      <c r="D837" s="82"/>
      <c r="K837" s="116"/>
      <c r="L837" s="135"/>
      <c r="N837" s="135"/>
      <c r="P837" s="135"/>
      <c r="R837" s="135"/>
    </row>
    <row r="838" spans="4:18" ht="13.2">
      <c r="D838" s="82"/>
      <c r="K838" s="116"/>
      <c r="L838" s="135"/>
      <c r="N838" s="135"/>
      <c r="P838" s="135"/>
      <c r="R838" s="135"/>
    </row>
    <row r="839" spans="4:18" ht="13.2">
      <c r="D839" s="82"/>
      <c r="K839" s="116"/>
      <c r="L839" s="135"/>
      <c r="N839" s="135"/>
      <c r="P839" s="135"/>
      <c r="R839" s="135"/>
    </row>
    <row r="840" spans="4:18" ht="13.2">
      <c r="D840" s="82"/>
      <c r="K840" s="116"/>
      <c r="L840" s="135"/>
      <c r="N840" s="135"/>
      <c r="P840" s="135"/>
      <c r="R840" s="135"/>
    </row>
    <row r="841" spans="4:18" ht="13.2">
      <c r="D841" s="82"/>
      <c r="K841" s="116"/>
      <c r="L841" s="135"/>
      <c r="N841" s="135"/>
      <c r="P841" s="135"/>
      <c r="R841" s="135"/>
    </row>
    <row r="842" spans="4:18" ht="13.2">
      <c r="D842" s="82"/>
      <c r="K842" s="116"/>
      <c r="L842" s="135"/>
      <c r="N842" s="135"/>
      <c r="P842" s="135"/>
      <c r="R842" s="135"/>
    </row>
    <row r="843" spans="4:18" ht="13.2">
      <c r="D843" s="82"/>
      <c r="K843" s="116"/>
      <c r="L843" s="135"/>
      <c r="N843" s="135"/>
      <c r="P843" s="135"/>
      <c r="R843" s="135"/>
    </row>
    <row r="844" spans="4:18" ht="13.2">
      <c r="D844" s="82"/>
      <c r="K844" s="116"/>
      <c r="L844" s="135"/>
      <c r="N844" s="135"/>
      <c r="P844" s="135"/>
      <c r="R844" s="135"/>
    </row>
    <row r="845" spans="4:18" ht="13.2">
      <c r="D845" s="82"/>
      <c r="K845" s="116"/>
      <c r="L845" s="135"/>
      <c r="N845" s="135"/>
      <c r="P845" s="135"/>
      <c r="R845" s="135"/>
    </row>
    <row r="846" spans="4:18" ht="13.2">
      <c r="D846" s="82"/>
      <c r="K846" s="116"/>
      <c r="L846" s="135"/>
      <c r="N846" s="135"/>
      <c r="P846" s="135"/>
      <c r="R846" s="135"/>
    </row>
    <row r="847" spans="4:18" ht="13.2">
      <c r="D847" s="82"/>
      <c r="K847" s="116"/>
      <c r="L847" s="135"/>
      <c r="N847" s="135"/>
      <c r="P847" s="135"/>
      <c r="R847" s="135"/>
    </row>
    <row r="848" spans="4:18" ht="13.2">
      <c r="D848" s="82"/>
      <c r="K848" s="116"/>
      <c r="L848" s="135"/>
      <c r="N848" s="135"/>
      <c r="P848" s="135"/>
      <c r="R848" s="135"/>
    </row>
    <row r="849" spans="4:18" ht="13.2">
      <c r="D849" s="82"/>
      <c r="K849" s="116"/>
      <c r="L849" s="135"/>
      <c r="N849" s="135"/>
      <c r="P849" s="135"/>
      <c r="R849" s="135"/>
    </row>
    <row r="850" spans="4:18" ht="13.2">
      <c r="D850" s="82"/>
      <c r="K850" s="116"/>
      <c r="L850" s="135"/>
      <c r="N850" s="135"/>
      <c r="P850" s="135"/>
      <c r="R850" s="135"/>
    </row>
    <row r="851" spans="4:18" ht="13.2">
      <c r="D851" s="82"/>
      <c r="K851" s="116"/>
      <c r="L851" s="135"/>
      <c r="N851" s="135"/>
      <c r="P851" s="135"/>
      <c r="R851" s="135"/>
    </row>
    <row r="852" spans="4:18" ht="13.2">
      <c r="D852" s="82"/>
      <c r="K852" s="116"/>
      <c r="L852" s="135"/>
      <c r="N852" s="135"/>
      <c r="P852" s="135"/>
      <c r="R852" s="135"/>
    </row>
    <row r="853" spans="4:18" ht="13.2">
      <c r="D853" s="82"/>
      <c r="K853" s="116"/>
      <c r="L853" s="135"/>
      <c r="N853" s="135"/>
      <c r="P853" s="135"/>
      <c r="R853" s="135"/>
    </row>
    <row r="854" spans="4:18" ht="13.2">
      <c r="D854" s="82"/>
      <c r="K854" s="116"/>
      <c r="L854" s="135"/>
      <c r="N854" s="135"/>
      <c r="P854" s="135"/>
      <c r="R854" s="135"/>
    </row>
    <row r="855" spans="4:18" ht="13.2">
      <c r="D855" s="82"/>
      <c r="K855" s="116"/>
      <c r="L855" s="135"/>
      <c r="N855" s="135"/>
      <c r="P855" s="135"/>
      <c r="R855" s="135"/>
    </row>
    <row r="856" spans="4:18" ht="13.2">
      <c r="D856" s="82"/>
      <c r="K856" s="116"/>
      <c r="L856" s="135"/>
      <c r="N856" s="135"/>
      <c r="P856" s="135"/>
      <c r="R856" s="135"/>
    </row>
    <row r="857" spans="4:18" ht="13.2">
      <c r="D857" s="82"/>
      <c r="K857" s="116"/>
      <c r="L857" s="135"/>
      <c r="N857" s="135"/>
      <c r="P857" s="135"/>
      <c r="R857" s="135"/>
    </row>
    <row r="858" spans="4:18" ht="13.2">
      <c r="D858" s="82"/>
      <c r="K858" s="116"/>
      <c r="L858" s="135"/>
      <c r="N858" s="135"/>
      <c r="P858" s="135"/>
      <c r="R858" s="135"/>
    </row>
    <row r="859" spans="4:18" ht="13.2">
      <c r="D859" s="82"/>
      <c r="K859" s="116"/>
      <c r="L859" s="135"/>
      <c r="N859" s="135"/>
      <c r="P859" s="135"/>
      <c r="R859" s="135"/>
    </row>
    <row r="860" spans="4:18" ht="13.2">
      <c r="D860" s="82"/>
      <c r="K860" s="116"/>
      <c r="L860" s="135"/>
      <c r="N860" s="135"/>
      <c r="P860" s="135"/>
      <c r="R860" s="135"/>
    </row>
    <row r="861" spans="4:18" ht="13.2">
      <c r="D861" s="82"/>
      <c r="K861" s="116"/>
      <c r="L861" s="135"/>
      <c r="N861" s="135"/>
      <c r="P861" s="135"/>
      <c r="R861" s="135"/>
    </row>
    <row r="862" spans="4:18" ht="13.2">
      <c r="D862" s="82"/>
      <c r="K862" s="116"/>
      <c r="L862" s="135"/>
      <c r="N862" s="135"/>
      <c r="P862" s="135"/>
      <c r="R862" s="135"/>
    </row>
    <row r="863" spans="4:18" ht="13.2">
      <c r="D863" s="82"/>
      <c r="K863" s="116"/>
      <c r="L863" s="135"/>
      <c r="N863" s="135"/>
      <c r="P863" s="135"/>
      <c r="R863" s="135"/>
    </row>
    <row r="864" spans="4:18" ht="13.2">
      <c r="D864" s="82"/>
      <c r="K864" s="116"/>
      <c r="L864" s="135"/>
      <c r="N864" s="135"/>
      <c r="P864" s="135"/>
      <c r="R864" s="135"/>
    </row>
    <row r="865" spans="4:18" ht="13.2">
      <c r="D865" s="82"/>
      <c r="K865" s="116"/>
      <c r="L865" s="135"/>
      <c r="N865" s="135"/>
      <c r="P865" s="135"/>
      <c r="R865" s="135"/>
    </row>
    <row r="866" spans="4:18" ht="13.2">
      <c r="D866" s="82"/>
      <c r="K866" s="116"/>
      <c r="L866" s="135"/>
      <c r="N866" s="135"/>
      <c r="P866" s="135"/>
      <c r="R866" s="135"/>
    </row>
    <row r="867" spans="4:18" ht="13.2">
      <c r="D867" s="82"/>
      <c r="K867" s="116"/>
      <c r="L867" s="135"/>
      <c r="N867" s="135"/>
      <c r="P867" s="135"/>
      <c r="R867" s="135"/>
    </row>
    <row r="868" spans="4:18" ht="13.2">
      <c r="D868" s="82"/>
      <c r="K868" s="116"/>
      <c r="L868" s="135"/>
      <c r="N868" s="135"/>
      <c r="P868" s="135"/>
      <c r="R868" s="135"/>
    </row>
    <row r="869" spans="4:18" ht="13.2">
      <c r="D869" s="82"/>
      <c r="K869" s="116"/>
      <c r="L869" s="135"/>
      <c r="N869" s="135"/>
      <c r="P869" s="135"/>
      <c r="R869" s="135"/>
    </row>
    <row r="870" spans="4:18" ht="13.2">
      <c r="D870" s="82"/>
      <c r="K870" s="116"/>
      <c r="L870" s="135"/>
      <c r="N870" s="135"/>
      <c r="P870" s="135"/>
      <c r="R870" s="135"/>
    </row>
    <row r="871" spans="4:18" ht="13.2">
      <c r="D871" s="82"/>
      <c r="K871" s="116"/>
      <c r="L871" s="135"/>
      <c r="N871" s="135"/>
      <c r="P871" s="135"/>
      <c r="R871" s="135"/>
    </row>
    <row r="872" spans="4:18" ht="13.2">
      <c r="D872" s="82"/>
      <c r="K872" s="116"/>
      <c r="L872" s="135"/>
      <c r="N872" s="135"/>
      <c r="P872" s="135"/>
      <c r="R872" s="135"/>
    </row>
    <row r="873" spans="4:18" ht="13.2">
      <c r="D873" s="82"/>
      <c r="K873" s="116"/>
      <c r="L873" s="135"/>
      <c r="N873" s="135"/>
      <c r="P873" s="135"/>
      <c r="R873" s="135"/>
    </row>
    <row r="874" spans="4:18" ht="13.2">
      <c r="D874" s="82"/>
      <c r="K874" s="116"/>
      <c r="L874" s="135"/>
      <c r="N874" s="135"/>
      <c r="P874" s="135"/>
      <c r="R874" s="135"/>
    </row>
    <row r="875" spans="4:18" ht="13.2">
      <c r="D875" s="82"/>
      <c r="K875" s="116"/>
      <c r="L875" s="135"/>
      <c r="N875" s="135"/>
      <c r="P875" s="135"/>
      <c r="R875" s="135"/>
    </row>
    <row r="876" spans="4:18" ht="13.2">
      <c r="D876" s="82"/>
      <c r="K876" s="116"/>
      <c r="L876" s="135"/>
      <c r="N876" s="135"/>
      <c r="P876" s="135"/>
      <c r="R876" s="135"/>
    </row>
    <row r="877" spans="4:18" ht="13.2">
      <c r="D877" s="82"/>
      <c r="K877" s="116"/>
      <c r="L877" s="135"/>
      <c r="N877" s="135"/>
      <c r="P877" s="135"/>
      <c r="R877" s="135"/>
    </row>
    <row r="878" spans="4:18" ht="13.2">
      <c r="D878" s="82"/>
      <c r="K878" s="116"/>
      <c r="L878" s="135"/>
      <c r="N878" s="135"/>
      <c r="P878" s="135"/>
      <c r="R878" s="135"/>
    </row>
    <row r="879" spans="4:18" ht="13.2">
      <c r="D879" s="82"/>
      <c r="K879" s="116"/>
      <c r="L879" s="135"/>
      <c r="N879" s="135"/>
      <c r="P879" s="135"/>
      <c r="R879" s="135"/>
    </row>
    <row r="880" spans="4:18" ht="13.2">
      <c r="D880" s="82"/>
      <c r="K880" s="116"/>
      <c r="L880" s="135"/>
      <c r="N880" s="135"/>
      <c r="P880" s="135"/>
      <c r="R880" s="135"/>
    </row>
    <row r="881" spans="4:18" ht="13.2">
      <c r="D881" s="82"/>
      <c r="K881" s="116"/>
      <c r="L881" s="135"/>
      <c r="N881" s="135"/>
      <c r="P881" s="135"/>
      <c r="R881" s="135"/>
    </row>
    <row r="882" spans="4:18" ht="13.2">
      <c r="D882" s="82"/>
      <c r="K882" s="116"/>
      <c r="L882" s="135"/>
      <c r="N882" s="135"/>
      <c r="P882" s="135"/>
      <c r="R882" s="135"/>
    </row>
    <row r="883" spans="4:18" ht="13.2">
      <c r="D883" s="82"/>
      <c r="K883" s="116"/>
      <c r="L883" s="135"/>
      <c r="N883" s="135"/>
      <c r="P883" s="135"/>
      <c r="R883" s="135"/>
    </row>
    <row r="884" spans="4:18" ht="13.2">
      <c r="D884" s="82"/>
      <c r="K884" s="116"/>
      <c r="L884" s="135"/>
      <c r="N884" s="135"/>
      <c r="P884" s="135"/>
      <c r="R884" s="135"/>
    </row>
    <row r="885" spans="4:18" ht="13.2">
      <c r="D885" s="82"/>
      <c r="K885" s="116"/>
      <c r="L885" s="135"/>
      <c r="N885" s="135"/>
      <c r="P885" s="135"/>
      <c r="R885" s="135"/>
    </row>
    <row r="886" spans="4:18" ht="13.2">
      <c r="D886" s="82"/>
      <c r="K886" s="116"/>
      <c r="L886" s="135"/>
      <c r="N886" s="135"/>
      <c r="P886" s="135"/>
      <c r="R886" s="135"/>
    </row>
    <row r="887" spans="4:18" ht="13.2">
      <c r="D887" s="82"/>
      <c r="K887" s="116"/>
      <c r="L887" s="135"/>
      <c r="N887" s="135"/>
      <c r="P887" s="135"/>
      <c r="R887" s="135"/>
    </row>
    <row r="888" spans="4:18" ht="13.2">
      <c r="D888" s="82"/>
      <c r="K888" s="116"/>
      <c r="L888" s="135"/>
      <c r="N888" s="135"/>
      <c r="P888" s="135"/>
      <c r="R888" s="135"/>
    </row>
    <row r="889" spans="4:18" ht="13.2">
      <c r="D889" s="82"/>
      <c r="K889" s="116"/>
      <c r="L889" s="135"/>
      <c r="N889" s="135"/>
      <c r="P889" s="135"/>
      <c r="R889" s="135"/>
    </row>
    <row r="890" spans="4:18" ht="13.2">
      <c r="D890" s="82"/>
      <c r="K890" s="116"/>
      <c r="L890" s="135"/>
      <c r="N890" s="135"/>
      <c r="P890" s="135"/>
      <c r="R890" s="135"/>
    </row>
    <row r="891" spans="4:18" ht="13.2">
      <c r="D891" s="82"/>
      <c r="K891" s="116"/>
      <c r="L891" s="135"/>
      <c r="N891" s="135"/>
      <c r="P891" s="135"/>
      <c r="R891" s="135"/>
    </row>
    <row r="892" spans="4:18" ht="13.2">
      <c r="D892" s="82"/>
      <c r="K892" s="116"/>
      <c r="L892" s="135"/>
      <c r="N892" s="135"/>
      <c r="P892" s="135"/>
      <c r="R892" s="135"/>
    </row>
    <row r="893" spans="4:18" ht="13.2">
      <c r="D893" s="82"/>
      <c r="K893" s="116"/>
      <c r="L893" s="135"/>
      <c r="N893" s="135"/>
      <c r="P893" s="135"/>
      <c r="R893" s="135"/>
    </row>
    <row r="894" spans="4:18" ht="13.2">
      <c r="D894" s="82"/>
      <c r="K894" s="116"/>
      <c r="L894" s="135"/>
      <c r="N894" s="135"/>
      <c r="P894" s="135"/>
      <c r="R894" s="135"/>
    </row>
    <row r="895" spans="4:18" ht="13.2">
      <c r="D895" s="82"/>
      <c r="K895" s="116"/>
      <c r="L895" s="135"/>
      <c r="N895" s="135"/>
      <c r="P895" s="135"/>
      <c r="R895" s="135"/>
    </row>
    <row r="896" spans="4:18" ht="13.2">
      <c r="D896" s="82"/>
      <c r="K896" s="116"/>
      <c r="L896" s="135"/>
      <c r="N896" s="135"/>
      <c r="P896" s="135"/>
      <c r="R896" s="135"/>
    </row>
    <row r="897" spans="4:18" ht="13.2">
      <c r="D897" s="82"/>
      <c r="K897" s="116"/>
      <c r="L897" s="135"/>
      <c r="N897" s="135"/>
      <c r="P897" s="135"/>
      <c r="R897" s="135"/>
    </row>
    <row r="898" spans="4:18" ht="13.2">
      <c r="D898" s="82"/>
      <c r="K898" s="116"/>
      <c r="L898" s="135"/>
      <c r="N898" s="135"/>
      <c r="P898" s="135"/>
      <c r="R898" s="135"/>
    </row>
    <row r="899" spans="4:18" ht="13.2">
      <c r="D899" s="82"/>
      <c r="K899" s="116"/>
      <c r="L899" s="135"/>
      <c r="N899" s="135"/>
      <c r="P899" s="135"/>
      <c r="R899" s="135"/>
    </row>
    <row r="900" spans="4:18" ht="13.2">
      <c r="D900" s="82"/>
      <c r="K900" s="116"/>
      <c r="L900" s="135"/>
      <c r="N900" s="135"/>
      <c r="P900" s="135"/>
      <c r="R900" s="135"/>
    </row>
    <row r="901" spans="4:18" ht="13.2">
      <c r="D901" s="82"/>
      <c r="K901" s="116"/>
      <c r="L901" s="135"/>
      <c r="N901" s="135"/>
      <c r="P901" s="135"/>
      <c r="R901" s="135"/>
    </row>
    <row r="902" spans="4:18" ht="13.2">
      <c r="D902" s="82"/>
      <c r="K902" s="116"/>
      <c r="L902" s="135"/>
      <c r="N902" s="135"/>
      <c r="P902" s="135"/>
      <c r="R902" s="135"/>
    </row>
    <row r="903" spans="4:18" ht="13.2">
      <c r="D903" s="82"/>
      <c r="K903" s="116"/>
      <c r="L903" s="135"/>
      <c r="N903" s="135"/>
      <c r="P903" s="135"/>
      <c r="R903" s="135"/>
    </row>
    <row r="904" spans="4:18" ht="13.2">
      <c r="D904" s="82"/>
      <c r="K904" s="116"/>
      <c r="L904" s="135"/>
      <c r="N904" s="135"/>
      <c r="P904" s="135"/>
      <c r="R904" s="135"/>
    </row>
    <row r="905" spans="4:18" ht="13.2">
      <c r="D905" s="82"/>
      <c r="K905" s="116"/>
      <c r="L905" s="135"/>
      <c r="N905" s="135"/>
      <c r="P905" s="135"/>
      <c r="R905" s="135"/>
    </row>
    <row r="906" spans="4:18" ht="13.2">
      <c r="D906" s="82"/>
      <c r="K906" s="116"/>
      <c r="L906" s="135"/>
      <c r="N906" s="135"/>
      <c r="P906" s="135"/>
      <c r="R906" s="135"/>
    </row>
    <row r="907" spans="4:18" ht="13.2">
      <c r="D907" s="82"/>
      <c r="K907" s="116"/>
      <c r="L907" s="135"/>
      <c r="N907" s="135"/>
      <c r="P907" s="135"/>
      <c r="R907" s="135"/>
    </row>
    <row r="908" spans="4:18" ht="13.2">
      <c r="D908" s="82"/>
      <c r="K908" s="116"/>
      <c r="L908" s="135"/>
      <c r="N908" s="135"/>
      <c r="P908" s="135"/>
      <c r="R908" s="135"/>
    </row>
    <row r="909" spans="4:18" ht="13.2">
      <c r="D909" s="82"/>
      <c r="K909" s="116"/>
      <c r="L909" s="135"/>
      <c r="N909" s="135"/>
      <c r="P909" s="135"/>
      <c r="R909" s="135"/>
    </row>
    <row r="910" spans="4:18" ht="13.2">
      <c r="D910" s="82"/>
      <c r="K910" s="116"/>
      <c r="L910" s="135"/>
      <c r="N910" s="135"/>
      <c r="P910" s="135"/>
      <c r="R910" s="135"/>
    </row>
    <row r="911" spans="4:18" ht="13.2">
      <c r="D911" s="82"/>
      <c r="K911" s="116"/>
      <c r="L911" s="135"/>
      <c r="N911" s="135"/>
      <c r="P911" s="135"/>
      <c r="R911" s="135"/>
    </row>
    <row r="912" spans="4:18" ht="13.2">
      <c r="D912" s="82"/>
      <c r="K912" s="116"/>
      <c r="L912" s="135"/>
      <c r="N912" s="135"/>
      <c r="P912" s="135"/>
      <c r="R912" s="135"/>
    </row>
    <row r="913" spans="4:18" ht="13.2">
      <c r="D913" s="82"/>
      <c r="K913" s="116"/>
      <c r="L913" s="135"/>
      <c r="N913" s="135"/>
      <c r="P913" s="135"/>
      <c r="R913" s="135"/>
    </row>
    <row r="914" spans="4:18" ht="13.2">
      <c r="D914" s="82"/>
      <c r="K914" s="116"/>
      <c r="L914" s="135"/>
      <c r="N914" s="135"/>
      <c r="P914" s="135"/>
      <c r="R914" s="135"/>
    </row>
    <row r="915" spans="4:18" ht="13.2">
      <c r="D915" s="82"/>
      <c r="K915" s="116"/>
      <c r="L915" s="135"/>
      <c r="N915" s="135"/>
      <c r="P915" s="135"/>
      <c r="R915" s="135"/>
    </row>
    <row r="916" spans="4:18" ht="13.2">
      <c r="D916" s="82"/>
      <c r="K916" s="116"/>
      <c r="L916" s="135"/>
      <c r="N916" s="135"/>
      <c r="P916" s="135"/>
      <c r="R916" s="135"/>
    </row>
    <row r="917" spans="4:18" ht="13.2">
      <c r="D917" s="82"/>
      <c r="K917" s="116"/>
      <c r="L917" s="135"/>
      <c r="N917" s="135"/>
      <c r="P917" s="135"/>
      <c r="R917" s="135"/>
    </row>
    <row r="918" spans="4:18" ht="13.2">
      <c r="D918" s="82"/>
      <c r="K918" s="116"/>
      <c r="L918" s="135"/>
      <c r="N918" s="135"/>
      <c r="P918" s="135"/>
      <c r="R918" s="135"/>
    </row>
    <row r="919" spans="4:18" ht="13.2">
      <c r="D919" s="82"/>
      <c r="K919" s="116"/>
      <c r="L919" s="135"/>
      <c r="N919" s="135"/>
      <c r="P919" s="135"/>
      <c r="R919" s="135"/>
    </row>
    <row r="920" spans="4:18" ht="13.2">
      <c r="D920" s="82"/>
      <c r="K920" s="116"/>
      <c r="L920" s="135"/>
      <c r="N920" s="135"/>
      <c r="P920" s="135"/>
      <c r="R920" s="135"/>
    </row>
    <row r="921" spans="4:18" ht="13.2">
      <c r="D921" s="82"/>
      <c r="K921" s="116"/>
      <c r="L921" s="135"/>
      <c r="N921" s="135"/>
      <c r="P921" s="135"/>
      <c r="R921" s="135"/>
    </row>
    <row r="922" spans="4:18" ht="13.2">
      <c r="D922" s="82"/>
      <c r="K922" s="116"/>
      <c r="L922" s="135"/>
      <c r="N922" s="135"/>
      <c r="P922" s="135"/>
      <c r="R922" s="135"/>
    </row>
    <row r="923" spans="4:18" ht="13.2">
      <c r="D923" s="82"/>
      <c r="K923" s="116"/>
      <c r="L923" s="135"/>
      <c r="N923" s="135"/>
      <c r="P923" s="135"/>
      <c r="R923" s="135"/>
    </row>
    <row r="924" spans="4:18" ht="13.2">
      <c r="D924" s="82"/>
      <c r="K924" s="116"/>
      <c r="L924" s="135"/>
      <c r="N924" s="135"/>
      <c r="P924" s="135"/>
      <c r="R924" s="135"/>
    </row>
    <row r="925" spans="4:18" ht="13.2">
      <c r="D925" s="82"/>
      <c r="K925" s="116"/>
      <c r="L925" s="135"/>
      <c r="N925" s="135"/>
      <c r="P925" s="135"/>
      <c r="R925" s="135"/>
    </row>
    <row r="926" spans="4:18" ht="13.2">
      <c r="D926" s="82"/>
      <c r="K926" s="116"/>
      <c r="L926" s="135"/>
      <c r="N926" s="135"/>
      <c r="P926" s="135"/>
      <c r="R926" s="135"/>
    </row>
    <row r="927" spans="4:18" ht="13.2">
      <c r="D927" s="82"/>
      <c r="K927" s="116"/>
      <c r="L927" s="135"/>
      <c r="N927" s="135"/>
      <c r="P927" s="135"/>
      <c r="R927" s="135"/>
    </row>
    <row r="928" spans="4:18" ht="13.2">
      <c r="D928" s="82"/>
      <c r="K928" s="116"/>
      <c r="L928" s="135"/>
      <c r="N928" s="135"/>
      <c r="P928" s="135"/>
      <c r="R928" s="135"/>
    </row>
    <row r="929" spans="4:18" ht="13.2">
      <c r="D929" s="82"/>
      <c r="K929" s="116"/>
      <c r="L929" s="135"/>
      <c r="N929" s="135"/>
      <c r="P929" s="135"/>
      <c r="R929" s="135"/>
    </row>
    <row r="930" spans="4:18" ht="13.2">
      <c r="D930" s="82"/>
      <c r="K930" s="116"/>
      <c r="L930" s="135"/>
      <c r="N930" s="135"/>
      <c r="P930" s="135"/>
      <c r="R930" s="135"/>
    </row>
    <row r="931" spans="4:18" ht="13.2">
      <c r="D931" s="82"/>
      <c r="K931" s="116"/>
      <c r="L931" s="135"/>
      <c r="N931" s="135"/>
      <c r="P931" s="135"/>
      <c r="R931" s="135"/>
    </row>
    <row r="932" spans="4:18" ht="13.2">
      <c r="D932" s="82"/>
      <c r="K932" s="116"/>
      <c r="L932" s="135"/>
      <c r="N932" s="135"/>
      <c r="P932" s="135"/>
      <c r="R932" s="135"/>
    </row>
    <row r="933" spans="4:18" ht="13.2">
      <c r="D933" s="82"/>
      <c r="K933" s="116"/>
      <c r="L933" s="135"/>
      <c r="N933" s="135"/>
      <c r="P933" s="135"/>
      <c r="R933" s="135"/>
    </row>
    <row r="934" spans="4:18" ht="13.2">
      <c r="D934" s="82"/>
      <c r="K934" s="116"/>
      <c r="L934" s="135"/>
      <c r="N934" s="135"/>
      <c r="P934" s="135"/>
      <c r="R934" s="135"/>
    </row>
    <row r="935" spans="4:18" ht="13.2">
      <c r="D935" s="82"/>
      <c r="K935" s="116"/>
      <c r="L935" s="135"/>
      <c r="N935" s="135"/>
      <c r="P935" s="135"/>
      <c r="R935" s="135"/>
    </row>
    <row r="936" spans="4:18" ht="13.2">
      <c r="D936" s="82"/>
      <c r="K936" s="116"/>
      <c r="L936" s="135"/>
      <c r="N936" s="135"/>
      <c r="P936" s="135"/>
      <c r="R936" s="135"/>
    </row>
    <row r="937" spans="4:18" ht="13.2">
      <c r="D937" s="82"/>
      <c r="K937" s="116"/>
      <c r="L937" s="135"/>
      <c r="N937" s="135"/>
      <c r="P937" s="135"/>
      <c r="R937" s="135"/>
    </row>
    <row r="938" spans="4:18" ht="13.2">
      <c r="D938" s="82"/>
      <c r="K938" s="116"/>
      <c r="L938" s="135"/>
      <c r="N938" s="135"/>
      <c r="P938" s="135"/>
      <c r="R938" s="135"/>
    </row>
    <row r="939" spans="4:18" ht="13.2">
      <c r="D939" s="82"/>
      <c r="K939" s="116"/>
      <c r="L939" s="135"/>
      <c r="N939" s="135"/>
      <c r="P939" s="135"/>
      <c r="R939" s="135"/>
    </row>
    <row r="940" spans="4:18" ht="13.2">
      <c r="D940" s="82"/>
      <c r="K940" s="116"/>
      <c r="L940" s="135"/>
      <c r="N940" s="135"/>
      <c r="P940" s="135"/>
      <c r="R940" s="135"/>
    </row>
    <row r="941" spans="4:18" ht="13.2">
      <c r="D941" s="82"/>
      <c r="K941" s="116"/>
      <c r="L941" s="135"/>
      <c r="N941" s="135"/>
      <c r="P941" s="135"/>
      <c r="R941" s="135"/>
    </row>
    <row r="942" spans="4:18" ht="13.2">
      <c r="D942" s="82"/>
      <c r="K942" s="116"/>
      <c r="L942" s="135"/>
      <c r="N942" s="135"/>
      <c r="P942" s="135"/>
      <c r="R942" s="135"/>
    </row>
    <row r="943" spans="4:18" ht="13.2">
      <c r="D943" s="82"/>
      <c r="K943" s="116"/>
      <c r="L943" s="135"/>
      <c r="N943" s="135"/>
      <c r="P943" s="135"/>
      <c r="R943" s="135"/>
    </row>
    <row r="944" spans="4:18" ht="13.2">
      <c r="D944" s="82"/>
      <c r="K944" s="116"/>
      <c r="L944" s="135"/>
      <c r="N944" s="135"/>
      <c r="P944" s="135"/>
      <c r="R944" s="135"/>
    </row>
    <row r="945" spans="4:18" ht="13.2">
      <c r="D945" s="82"/>
      <c r="K945" s="116"/>
      <c r="L945" s="135"/>
      <c r="N945" s="135"/>
      <c r="P945" s="135"/>
      <c r="R945" s="135"/>
    </row>
    <row r="946" spans="4:18" ht="13.2">
      <c r="D946" s="82"/>
      <c r="K946" s="116"/>
      <c r="L946" s="135"/>
      <c r="N946" s="135"/>
      <c r="P946" s="135"/>
      <c r="R946" s="135"/>
    </row>
    <row r="947" spans="4:18" ht="13.2">
      <c r="D947" s="82"/>
      <c r="K947" s="116"/>
      <c r="L947" s="135"/>
      <c r="N947" s="135"/>
      <c r="P947" s="135"/>
      <c r="R947" s="135"/>
    </row>
    <row r="948" spans="4:18" ht="13.2">
      <c r="D948" s="82"/>
      <c r="K948" s="116"/>
      <c r="L948" s="135"/>
      <c r="N948" s="135"/>
      <c r="P948" s="135"/>
      <c r="R948" s="135"/>
    </row>
    <row r="949" spans="4:18" ht="13.2">
      <c r="D949" s="82"/>
      <c r="K949" s="116"/>
      <c r="L949" s="135"/>
      <c r="N949" s="135"/>
      <c r="P949" s="135"/>
      <c r="R949" s="135"/>
    </row>
    <row r="950" spans="4:18" ht="13.2">
      <c r="D950" s="82"/>
      <c r="K950" s="116"/>
      <c r="L950" s="135"/>
      <c r="N950" s="135"/>
      <c r="P950" s="135"/>
      <c r="R950" s="135"/>
    </row>
    <row r="951" spans="4:18" ht="13.2">
      <c r="D951" s="82"/>
      <c r="K951" s="116"/>
      <c r="L951" s="135"/>
      <c r="N951" s="135"/>
      <c r="P951" s="135"/>
      <c r="R951" s="135"/>
    </row>
    <row r="952" spans="4:18" ht="13.2">
      <c r="D952" s="82"/>
      <c r="K952" s="116"/>
      <c r="L952" s="135"/>
      <c r="N952" s="135"/>
      <c r="P952" s="135"/>
      <c r="R952" s="135"/>
    </row>
    <row r="953" spans="4:18" ht="13.2">
      <c r="D953" s="82"/>
      <c r="K953" s="116"/>
      <c r="L953" s="135"/>
      <c r="N953" s="135"/>
      <c r="P953" s="135"/>
      <c r="R953" s="135"/>
    </row>
    <row r="954" spans="4:18" ht="13.2">
      <c r="D954" s="82"/>
      <c r="K954" s="116"/>
      <c r="L954" s="135"/>
      <c r="N954" s="135"/>
      <c r="P954" s="135"/>
      <c r="R954" s="135"/>
    </row>
    <row r="955" spans="4:18" ht="13.2">
      <c r="D955" s="82"/>
      <c r="K955" s="116"/>
      <c r="L955" s="135"/>
      <c r="N955" s="135"/>
      <c r="P955" s="135"/>
      <c r="R955" s="135"/>
    </row>
    <row r="956" spans="4:18" ht="13.2">
      <c r="D956" s="82"/>
      <c r="K956" s="116"/>
      <c r="L956" s="135"/>
      <c r="N956" s="135"/>
      <c r="P956" s="135"/>
      <c r="R956" s="135"/>
    </row>
    <row r="957" spans="4:18" ht="13.2">
      <c r="D957" s="82"/>
      <c r="K957" s="116"/>
      <c r="L957" s="135"/>
      <c r="N957" s="135"/>
      <c r="P957" s="135"/>
      <c r="R957" s="135"/>
    </row>
    <row r="958" spans="4:18" ht="13.2">
      <c r="D958" s="82"/>
      <c r="K958" s="116"/>
      <c r="L958" s="135"/>
      <c r="N958" s="135"/>
      <c r="P958" s="135"/>
      <c r="R958" s="135"/>
    </row>
    <row r="959" spans="4:18" ht="13.2">
      <c r="D959" s="82"/>
      <c r="K959" s="116"/>
      <c r="L959" s="135"/>
      <c r="N959" s="135"/>
      <c r="P959" s="135"/>
      <c r="R959" s="135"/>
    </row>
    <row r="960" spans="4:18" ht="13.2">
      <c r="D960" s="82"/>
      <c r="K960" s="116"/>
      <c r="L960" s="135"/>
      <c r="N960" s="135"/>
      <c r="P960" s="135"/>
      <c r="R960" s="135"/>
    </row>
    <row r="961" spans="4:18" ht="13.2">
      <c r="D961" s="82"/>
      <c r="K961" s="116"/>
      <c r="L961" s="135"/>
      <c r="N961" s="135"/>
      <c r="P961" s="135"/>
      <c r="R961" s="135"/>
    </row>
    <row r="962" spans="4:18" ht="13.2">
      <c r="D962" s="82"/>
      <c r="K962" s="116"/>
      <c r="L962" s="135"/>
      <c r="N962" s="135"/>
      <c r="P962" s="135"/>
      <c r="R962" s="135"/>
    </row>
    <row r="963" spans="4:18" ht="13.2">
      <c r="D963" s="82"/>
      <c r="K963" s="116"/>
      <c r="L963" s="135"/>
      <c r="N963" s="135"/>
      <c r="P963" s="135"/>
      <c r="R963" s="135"/>
    </row>
    <row r="964" spans="4:18" ht="13.2">
      <c r="D964" s="82"/>
      <c r="K964" s="116"/>
      <c r="L964" s="135"/>
      <c r="N964" s="135"/>
      <c r="P964" s="135"/>
      <c r="R964" s="135"/>
    </row>
    <row r="965" spans="4:18" ht="13.2">
      <c r="D965" s="82"/>
      <c r="K965" s="116"/>
      <c r="L965" s="135"/>
      <c r="N965" s="135"/>
      <c r="P965" s="135"/>
      <c r="R965" s="135"/>
    </row>
    <row r="966" spans="4:18" ht="13.2">
      <c r="D966" s="82"/>
      <c r="K966" s="116"/>
      <c r="L966" s="135"/>
      <c r="N966" s="135"/>
      <c r="P966" s="135"/>
      <c r="R966" s="135"/>
    </row>
    <row r="967" spans="4:18" ht="13.2">
      <c r="D967" s="82"/>
      <c r="K967" s="116"/>
      <c r="L967" s="135"/>
      <c r="N967" s="135"/>
      <c r="P967" s="135"/>
      <c r="R967" s="135"/>
    </row>
    <row r="968" spans="4:18" ht="13.2">
      <c r="D968" s="82"/>
      <c r="K968" s="116"/>
      <c r="L968" s="135"/>
      <c r="N968" s="135"/>
      <c r="P968" s="135"/>
      <c r="R968" s="135"/>
    </row>
    <row r="969" spans="4:18" ht="13.2">
      <c r="D969" s="82"/>
      <c r="K969" s="116"/>
      <c r="L969" s="135"/>
      <c r="N969" s="135"/>
      <c r="P969" s="135"/>
      <c r="R969" s="135"/>
    </row>
    <row r="970" spans="4:18" ht="13.2">
      <c r="D970" s="82"/>
      <c r="K970" s="116"/>
      <c r="L970" s="135"/>
      <c r="N970" s="135"/>
      <c r="P970" s="135"/>
      <c r="R970" s="135"/>
    </row>
    <row r="971" spans="4:18" ht="13.2">
      <c r="D971" s="82"/>
      <c r="K971" s="116"/>
      <c r="L971" s="135"/>
      <c r="N971" s="135"/>
      <c r="P971" s="135"/>
      <c r="R971" s="135"/>
    </row>
    <row r="972" spans="4:18" ht="13.2">
      <c r="D972" s="82"/>
      <c r="K972" s="116"/>
      <c r="L972" s="135"/>
      <c r="N972" s="135"/>
      <c r="P972" s="135"/>
      <c r="R972" s="135"/>
    </row>
    <row r="973" spans="4:18" ht="13.2">
      <c r="D973" s="82"/>
      <c r="K973" s="116"/>
      <c r="L973" s="135"/>
      <c r="N973" s="135"/>
      <c r="P973" s="135"/>
      <c r="R973" s="135"/>
    </row>
    <row r="974" spans="4:18" ht="13.2">
      <c r="D974" s="82"/>
      <c r="K974" s="116"/>
      <c r="L974" s="135"/>
      <c r="N974" s="135"/>
      <c r="P974" s="135"/>
      <c r="R974" s="135"/>
    </row>
    <row r="975" spans="4:18" ht="13.2">
      <c r="D975" s="82"/>
      <c r="K975" s="116"/>
      <c r="L975" s="135"/>
      <c r="N975" s="135"/>
      <c r="P975" s="135"/>
      <c r="R975" s="135"/>
    </row>
    <row r="976" spans="4:18" ht="13.2">
      <c r="D976" s="82"/>
      <c r="K976" s="116"/>
      <c r="L976" s="135"/>
      <c r="N976" s="135"/>
      <c r="P976" s="135"/>
      <c r="R976" s="135"/>
    </row>
    <row r="977" spans="4:18" ht="13.2">
      <c r="D977" s="82"/>
      <c r="K977" s="116"/>
      <c r="L977" s="135"/>
      <c r="N977" s="135"/>
      <c r="P977" s="135"/>
      <c r="R977" s="135"/>
    </row>
    <row r="978" spans="4:18" ht="13.2">
      <c r="D978" s="82"/>
      <c r="K978" s="116"/>
      <c r="L978" s="135"/>
      <c r="N978" s="135"/>
      <c r="P978" s="135"/>
      <c r="R978" s="135"/>
    </row>
    <row r="979" spans="4:18" ht="13.2">
      <c r="D979" s="82"/>
      <c r="K979" s="116"/>
      <c r="L979" s="135"/>
      <c r="N979" s="135"/>
      <c r="P979" s="135"/>
      <c r="R979" s="135"/>
    </row>
    <row r="980" spans="4:18" ht="13.2">
      <c r="D980" s="82"/>
      <c r="K980" s="116"/>
      <c r="L980" s="135"/>
      <c r="N980" s="135"/>
      <c r="P980" s="135"/>
      <c r="R980" s="135"/>
    </row>
    <row r="981" spans="4:18" ht="13.2">
      <c r="D981" s="82"/>
      <c r="K981" s="116"/>
      <c r="L981" s="135"/>
      <c r="N981" s="135"/>
      <c r="P981" s="135"/>
      <c r="R981" s="135"/>
    </row>
    <row r="982" spans="4:18" ht="13.2">
      <c r="D982" s="82"/>
      <c r="K982" s="116"/>
      <c r="L982" s="135"/>
      <c r="N982" s="135"/>
      <c r="P982" s="135"/>
      <c r="R982" s="135"/>
    </row>
    <row r="983" spans="4:18" ht="13.2">
      <c r="D983" s="82"/>
      <c r="K983" s="116"/>
      <c r="L983" s="135"/>
      <c r="N983" s="135"/>
      <c r="P983" s="135"/>
      <c r="R983" s="135"/>
    </row>
    <row r="984" spans="4:18" ht="13.2">
      <c r="D984" s="82"/>
      <c r="K984" s="116"/>
      <c r="L984" s="135"/>
      <c r="N984" s="135"/>
      <c r="P984" s="135"/>
      <c r="R984" s="135"/>
    </row>
    <row r="985" spans="4:18" ht="13.2">
      <c r="D985" s="82"/>
      <c r="K985" s="116"/>
      <c r="L985" s="135"/>
      <c r="N985" s="135"/>
      <c r="P985" s="135"/>
      <c r="R985" s="135"/>
    </row>
    <row r="986" spans="4:18" ht="13.2">
      <c r="D986" s="82"/>
      <c r="K986" s="116"/>
      <c r="L986" s="135"/>
      <c r="N986" s="135"/>
      <c r="P986" s="135"/>
      <c r="R986" s="135"/>
    </row>
    <row r="987" spans="4:18" ht="13.2">
      <c r="D987" s="82"/>
      <c r="K987" s="116"/>
      <c r="L987" s="135"/>
      <c r="N987" s="135"/>
      <c r="P987" s="135"/>
      <c r="R987" s="135"/>
    </row>
    <row r="988" spans="4:18" ht="13.2">
      <c r="D988" s="82"/>
      <c r="K988" s="116"/>
      <c r="L988" s="135"/>
      <c r="N988" s="135"/>
      <c r="P988" s="135"/>
      <c r="R988" s="135"/>
    </row>
    <row r="989" spans="4:18" ht="13.2">
      <c r="D989" s="82"/>
      <c r="K989" s="116"/>
      <c r="L989" s="135"/>
      <c r="N989" s="135"/>
      <c r="P989" s="135"/>
      <c r="R989" s="135"/>
    </row>
    <row r="990" spans="4:18" ht="13.2">
      <c r="D990" s="82"/>
      <c r="K990" s="116"/>
      <c r="L990" s="135"/>
      <c r="N990" s="135"/>
      <c r="P990" s="135"/>
      <c r="R990" s="135"/>
    </row>
    <row r="991" spans="4:18" ht="13.2">
      <c r="D991" s="82"/>
      <c r="K991" s="116"/>
      <c r="L991" s="135"/>
      <c r="N991" s="135"/>
      <c r="P991" s="135"/>
      <c r="R991" s="135"/>
    </row>
    <row r="992" spans="4:18" ht="13.2">
      <c r="D992" s="82"/>
      <c r="K992" s="116"/>
      <c r="L992" s="135"/>
      <c r="N992" s="135"/>
      <c r="P992" s="135"/>
      <c r="R992" s="135"/>
    </row>
    <row r="993" spans="4:18" ht="13.2">
      <c r="D993" s="82"/>
      <c r="K993" s="116"/>
      <c r="L993" s="135"/>
      <c r="N993" s="135"/>
      <c r="P993" s="135"/>
      <c r="R993" s="135"/>
    </row>
    <row r="994" spans="4:18" ht="13.2">
      <c r="D994" s="82"/>
      <c r="K994" s="116"/>
      <c r="L994" s="135"/>
      <c r="N994" s="135"/>
      <c r="P994" s="135"/>
      <c r="R994" s="135"/>
    </row>
    <row r="995" spans="4:18" ht="13.2">
      <c r="D995" s="82"/>
      <c r="K995" s="116"/>
      <c r="L995" s="135"/>
      <c r="N995" s="135"/>
      <c r="P995" s="135"/>
      <c r="R995" s="135"/>
    </row>
    <row r="996" spans="4:18" ht="13.2">
      <c r="D996" s="82"/>
      <c r="K996" s="116"/>
      <c r="L996" s="135"/>
      <c r="N996" s="135"/>
      <c r="P996" s="135"/>
      <c r="R996" s="135"/>
    </row>
    <row r="997" spans="4:18" ht="13.2">
      <c r="D997" s="82"/>
      <c r="K997" s="116"/>
      <c r="L997" s="135"/>
      <c r="N997" s="135"/>
      <c r="P997" s="135"/>
      <c r="R997" s="135"/>
    </row>
    <row r="998" spans="4:18" ht="13.2">
      <c r="D998" s="82"/>
      <c r="K998" s="116"/>
      <c r="L998" s="135"/>
      <c r="N998" s="135"/>
      <c r="P998" s="135"/>
      <c r="R998" s="135"/>
    </row>
    <row r="999" spans="4:18" ht="13.2">
      <c r="D999" s="82"/>
      <c r="K999" s="116"/>
      <c r="L999" s="135"/>
      <c r="N999" s="135"/>
      <c r="P999" s="135"/>
      <c r="R999" s="135"/>
    </row>
    <row r="1000" spans="4:18" ht="13.2">
      <c r="D1000" s="82"/>
      <c r="K1000" s="116"/>
      <c r="L1000" s="135"/>
      <c r="N1000" s="135"/>
      <c r="P1000" s="135"/>
      <c r="R1000" s="135"/>
    </row>
    <row r="1001" spans="4:18" ht="13.2">
      <c r="D1001" s="82"/>
      <c r="K1001" s="116"/>
      <c r="L1001" s="135"/>
      <c r="N1001" s="135"/>
      <c r="P1001" s="135"/>
      <c r="R1001" s="135"/>
    </row>
  </sheetData>
  <autoFilter ref="A1:T102"/>
  <customSheetViews>
    <customSheetView guid="{C98B61DE-1488-42D3-A131-052C1E54C125}" filter="1" showAutoFilter="1">
      <pageMargins left="0.7" right="0.7" top="0.75" bottom="0.75" header="0.3" footer="0.3"/>
      <autoFilter ref="A2:R102">
        <sortState ref="A2:R102">
          <sortCondition ref="E2:E102"/>
        </sortState>
      </autoFilter>
    </customSheetView>
  </customSheetViews>
  <mergeCells count="6">
    <mergeCell ref="Q2:R2"/>
    <mergeCell ref="A1:E1"/>
    <mergeCell ref="F1:J1"/>
    <mergeCell ref="K2:L2"/>
    <mergeCell ref="M2:N2"/>
    <mergeCell ref="O2:P2"/>
  </mergeCells>
  <dataValidations count="1">
    <dataValidation type="list" allowBlank="1" showInputMessage="1" prompt="Bez penalizace, 1 penalizace, 2 penalizace" sqref="L3:L102 N3:N102 P3:P102 R3:R102">
      <formula1>"-,1,2"</formula1>
    </dataValidation>
  </dataValidation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N999"/>
  <sheetViews>
    <sheetView workbookViewId="0"/>
  </sheetViews>
  <sheetFormatPr defaultColWidth="14.44140625" defaultRowHeight="15.75" customHeight="1"/>
  <cols>
    <col min="1" max="1" width="10.6640625" customWidth="1"/>
    <col min="2" max="2" width="8.88671875" customWidth="1"/>
    <col min="3" max="3" width="26.44140625" customWidth="1"/>
    <col min="4" max="4" width="30.33203125" customWidth="1"/>
    <col min="5" max="5" width="15.33203125" customWidth="1"/>
    <col min="6" max="6" width="13.44140625" customWidth="1"/>
    <col min="7" max="11" width="8.33203125" customWidth="1"/>
    <col min="12" max="12" width="12.109375" customWidth="1"/>
    <col min="13" max="13" width="15.109375" customWidth="1"/>
  </cols>
  <sheetData>
    <row r="1" spans="1:14" ht="15" customHeight="1">
      <c r="A1" s="191" t="str">
        <f>IF(L3="Čára","Čára / Line follower",IF(L3="DM","Dálkový medvěd / Bear rescue",IF(L3="AM","Autonomní medvěd / Bear rescue advanced",IF(L3="Sprint","Sprint / Drag race","Chyba"))))</f>
        <v>Sprint / Drag race</v>
      </c>
      <c r="B1" s="167"/>
      <c r="C1" s="167"/>
      <c r="D1" s="167"/>
      <c r="E1" s="167"/>
      <c r="F1" s="168"/>
      <c r="G1" s="192" t="s">
        <v>45</v>
      </c>
      <c r="H1" s="170"/>
      <c r="I1" s="170"/>
      <c r="J1" s="170"/>
      <c r="K1" s="170"/>
      <c r="L1" s="113">
        <f ca="1">IF(HOUR(NOW())&gt;=17,NOW(),"0:00")</f>
        <v>43868.789635300927</v>
      </c>
      <c r="M1" s="16" t="s">
        <v>46</v>
      </c>
    </row>
    <row r="2" spans="1:14" ht="15" customHeight="1">
      <c r="A2" s="3" t="s">
        <v>47</v>
      </c>
      <c r="B2" s="3" t="s">
        <v>13</v>
      </c>
      <c r="C2" s="114" t="s">
        <v>6</v>
      </c>
      <c r="D2" s="3" t="s">
        <v>7</v>
      </c>
      <c r="E2" s="3" t="s">
        <v>49</v>
      </c>
      <c r="F2" s="115" t="s">
        <v>9</v>
      </c>
      <c r="G2" s="4" t="s">
        <v>18</v>
      </c>
      <c r="H2" s="4" t="s">
        <v>50</v>
      </c>
      <c r="I2" s="4" t="s">
        <v>19</v>
      </c>
      <c r="J2" s="4" t="s">
        <v>20</v>
      </c>
      <c r="K2" s="4" t="s">
        <v>21</v>
      </c>
      <c r="L2" t="str">
        <f ca="1">IF(ISODD(MINUTE(L1)),"Licha","Suda")</f>
        <v>Licha</v>
      </c>
      <c r="M2" s="16" t="s">
        <v>51</v>
      </c>
    </row>
    <row r="3" spans="1:14" ht="13.2">
      <c r="A3" s="43">
        <v>1</v>
      </c>
      <c r="B3" s="82">
        <v>28</v>
      </c>
      <c r="C3" s="117" t="s">
        <v>52</v>
      </c>
      <c r="D3" t="s">
        <v>53</v>
      </c>
      <c r="E3" s="118" t="s">
        <v>54</v>
      </c>
      <c r="F3" s="119">
        <v>3.4027777777777775E-5</v>
      </c>
      <c r="G3" s="12">
        <v>3.4027777777777775E-5</v>
      </c>
      <c r="H3" s="27">
        <v>3.4490740740740742E-5</v>
      </c>
      <c r="I3" s="27" t="s">
        <v>55</v>
      </c>
      <c r="J3" s="27" t="s">
        <v>55</v>
      </c>
      <c r="K3" s="27">
        <v>4.1666666666666664E-2</v>
      </c>
      <c r="L3" s="16" t="s">
        <v>56</v>
      </c>
      <c r="M3" s="16" t="s">
        <v>57</v>
      </c>
      <c r="N3" s="16" t="s">
        <v>58</v>
      </c>
    </row>
    <row r="4" spans="1:14" ht="13.2">
      <c r="A4" s="43">
        <v>2</v>
      </c>
      <c r="B4" s="82">
        <v>19</v>
      </c>
      <c r="C4" s="117" t="s">
        <v>59</v>
      </c>
      <c r="D4" t="s">
        <v>60</v>
      </c>
      <c r="E4" s="118" t="s">
        <v>61</v>
      </c>
      <c r="F4" s="119">
        <v>3.4606481481481482E-5</v>
      </c>
      <c r="G4" s="27">
        <v>3.4606481481481482E-5</v>
      </c>
      <c r="H4" s="27" t="s">
        <v>48</v>
      </c>
      <c r="I4" s="27" t="s">
        <v>55</v>
      </c>
      <c r="J4" s="27" t="s">
        <v>55</v>
      </c>
      <c r="K4" s="27">
        <v>4.1666666666666664E-2</v>
      </c>
      <c r="M4" s="16" t="s">
        <v>62</v>
      </c>
      <c r="N4" s="16" t="s">
        <v>63</v>
      </c>
    </row>
    <row r="5" spans="1:14" ht="13.2">
      <c r="A5" s="43">
        <v>3</v>
      </c>
      <c r="B5" s="82">
        <v>20</v>
      </c>
      <c r="C5" s="117" t="s">
        <v>64</v>
      </c>
      <c r="D5" t="s">
        <v>65</v>
      </c>
      <c r="E5" s="118" t="s">
        <v>61</v>
      </c>
      <c r="F5" s="119">
        <v>3.8657407407407404E-5</v>
      </c>
      <c r="G5" s="27">
        <v>4.9652777777777775E-5</v>
      </c>
      <c r="H5" s="27">
        <v>3.8657407407407404E-5</v>
      </c>
      <c r="I5" s="27" t="s">
        <v>55</v>
      </c>
      <c r="J5" s="27" t="s">
        <v>55</v>
      </c>
      <c r="K5" s="27">
        <v>4.1666666666666664E-2</v>
      </c>
      <c r="M5" s="16" t="s">
        <v>66</v>
      </c>
      <c r="N5" s="16" t="s">
        <v>67</v>
      </c>
    </row>
    <row r="6" spans="1:14" ht="13.2">
      <c r="A6" s="43">
        <v>4</v>
      </c>
      <c r="B6" s="82">
        <v>22</v>
      </c>
      <c r="C6" s="117" t="s">
        <v>68</v>
      </c>
      <c r="D6" t="s">
        <v>69</v>
      </c>
      <c r="E6" s="118" t="s">
        <v>70</v>
      </c>
      <c r="F6" s="119">
        <v>3.8773148148148151E-5</v>
      </c>
      <c r="G6" s="27">
        <v>3.8773148148148151E-5</v>
      </c>
      <c r="H6" s="27">
        <v>3.9120370370370371E-5</v>
      </c>
      <c r="I6" s="27" t="s">
        <v>55</v>
      </c>
      <c r="J6" s="27" t="s">
        <v>55</v>
      </c>
      <c r="K6" s="27">
        <v>4.1666666666666664E-2</v>
      </c>
      <c r="M6" s="16" t="s">
        <v>71</v>
      </c>
      <c r="N6" s="16" t="s">
        <v>56</v>
      </c>
    </row>
    <row r="7" spans="1:14" ht="13.2">
      <c r="A7" s="43">
        <v>5</v>
      </c>
      <c r="B7" s="82">
        <v>107</v>
      </c>
      <c r="C7" s="117" t="s">
        <v>72</v>
      </c>
      <c r="D7" t="s">
        <v>73</v>
      </c>
      <c r="E7" s="118" t="s">
        <v>61</v>
      </c>
      <c r="F7" s="119">
        <v>4.0023148148148154E-5</v>
      </c>
      <c r="G7" s="27">
        <v>4.0023148148148154E-5</v>
      </c>
      <c r="H7" s="27">
        <v>4.2581018518518517E-5</v>
      </c>
      <c r="I7" s="27" t="s">
        <v>55</v>
      </c>
      <c r="J7" s="27" t="s">
        <v>55</v>
      </c>
      <c r="K7" s="27">
        <v>4.1666666666666664E-2</v>
      </c>
    </row>
    <row r="8" spans="1:14" ht="13.2">
      <c r="A8" s="43">
        <v>6</v>
      </c>
      <c r="B8" s="82">
        <v>23</v>
      </c>
      <c r="C8" s="117" t="s">
        <v>74</v>
      </c>
      <c r="D8" t="s">
        <v>69</v>
      </c>
      <c r="E8" s="118" t="s">
        <v>61</v>
      </c>
      <c r="F8" s="119">
        <v>4.1087962962962958E-5</v>
      </c>
      <c r="G8" s="27">
        <v>4.1087962962962958E-5</v>
      </c>
      <c r="H8" s="27" t="s">
        <v>48</v>
      </c>
      <c r="I8" s="27" t="s">
        <v>55</v>
      </c>
      <c r="J8" s="27" t="s">
        <v>55</v>
      </c>
      <c r="K8" s="27">
        <v>4.1666666666666664E-2</v>
      </c>
      <c r="L8" s="16" t="s">
        <v>75</v>
      </c>
      <c r="M8" s="16" t="s">
        <v>76</v>
      </c>
    </row>
    <row r="9" spans="1:14" ht="13.2">
      <c r="A9" s="43">
        <v>7</v>
      </c>
      <c r="B9" s="82">
        <v>71</v>
      </c>
      <c r="C9" s="117" t="s">
        <v>77</v>
      </c>
      <c r="D9" t="s">
        <v>78</v>
      </c>
      <c r="E9" s="118" t="s">
        <v>61</v>
      </c>
      <c r="F9" s="119">
        <v>4.1203703703703705E-5</v>
      </c>
      <c r="G9" s="27">
        <v>4.1898148148148152E-5</v>
      </c>
      <c r="H9" s="27">
        <v>4.1203703703703705E-5</v>
      </c>
      <c r="I9" s="27" t="s">
        <v>55</v>
      </c>
      <c r="J9" s="27" t="s">
        <v>55</v>
      </c>
      <c r="K9" s="27">
        <v>4.1666666666666664E-2</v>
      </c>
      <c r="L9" s="16" t="s">
        <v>79</v>
      </c>
      <c r="M9" s="16" t="s">
        <v>80</v>
      </c>
    </row>
    <row r="10" spans="1:14" ht="13.2">
      <c r="A10" s="43">
        <v>8</v>
      </c>
      <c r="B10" s="82">
        <v>158</v>
      </c>
      <c r="C10" s="117" t="s">
        <v>81</v>
      </c>
      <c r="D10" t="s">
        <v>82</v>
      </c>
      <c r="E10" s="118" t="s">
        <v>61</v>
      </c>
      <c r="F10" s="119">
        <v>4.1550925925925925E-5</v>
      </c>
      <c r="G10" s="27">
        <v>4.1550925925925925E-5</v>
      </c>
      <c r="H10" s="27">
        <v>5.5219907407407407E-5</v>
      </c>
      <c r="I10" s="27" t="s">
        <v>55</v>
      </c>
      <c r="J10" s="27" t="s">
        <v>55</v>
      </c>
      <c r="K10" s="27">
        <v>4.1666666666666664E-2</v>
      </c>
      <c r="L10" s="16" t="s">
        <v>83</v>
      </c>
      <c r="M10" s="16" t="s">
        <v>84</v>
      </c>
    </row>
    <row r="11" spans="1:14" ht="13.2">
      <c r="A11" s="43">
        <v>9</v>
      </c>
      <c r="B11" s="82">
        <v>142</v>
      </c>
      <c r="C11" s="117" t="s">
        <v>85</v>
      </c>
      <c r="D11" t="s">
        <v>86</v>
      </c>
      <c r="E11" s="118" t="s">
        <v>70</v>
      </c>
      <c r="F11" s="119">
        <v>4.3055555555555559E-5</v>
      </c>
      <c r="G11" s="27">
        <v>4.375E-5</v>
      </c>
      <c r="H11" s="27">
        <v>4.3055555555555559E-5</v>
      </c>
      <c r="I11" s="27" t="s">
        <v>55</v>
      </c>
      <c r="J11" s="27" t="s">
        <v>55</v>
      </c>
      <c r="K11" s="27">
        <v>4.1666666666666664E-2</v>
      </c>
      <c r="L11" s="16" t="s">
        <v>87</v>
      </c>
      <c r="M11" s="16" t="s">
        <v>88</v>
      </c>
    </row>
    <row r="12" spans="1:14" ht="13.2">
      <c r="A12" s="43">
        <v>10</v>
      </c>
      <c r="B12" s="82">
        <v>114</v>
      </c>
      <c r="C12" s="117" t="s">
        <v>89</v>
      </c>
      <c r="D12" t="s">
        <v>90</v>
      </c>
      <c r="E12" s="118" t="s">
        <v>61</v>
      </c>
      <c r="F12" s="119">
        <v>4.4560185185185187E-5</v>
      </c>
      <c r="G12" s="27">
        <v>5.7326388888888885E-5</v>
      </c>
      <c r="H12" s="27">
        <v>4.4560185185185187E-5</v>
      </c>
      <c r="I12" s="27" t="s">
        <v>55</v>
      </c>
      <c r="J12" s="27" t="s">
        <v>55</v>
      </c>
      <c r="K12" s="27">
        <v>4.1666666666666664E-2</v>
      </c>
      <c r="L12" s="16" t="s">
        <v>91</v>
      </c>
      <c r="M12" s="16" t="s">
        <v>92</v>
      </c>
    </row>
    <row r="13" spans="1:14" ht="13.2">
      <c r="A13" s="43">
        <v>11</v>
      </c>
      <c r="B13" s="82">
        <v>76</v>
      </c>
      <c r="C13" s="117" t="s">
        <v>93</v>
      </c>
      <c r="D13" t="s">
        <v>94</v>
      </c>
      <c r="E13" s="118" t="s">
        <v>61</v>
      </c>
      <c r="F13" s="119">
        <v>4.6527777777777774E-5</v>
      </c>
      <c r="G13" s="27">
        <v>4.6527777777777774E-5</v>
      </c>
      <c r="H13" s="27">
        <v>4.7800925925925928E-5</v>
      </c>
      <c r="I13" s="27" t="s">
        <v>55</v>
      </c>
      <c r="J13" s="27" t="s">
        <v>55</v>
      </c>
      <c r="K13" s="27">
        <v>4.1666666666666664E-2</v>
      </c>
      <c r="L13" s="16" t="s">
        <v>95</v>
      </c>
      <c r="M13" s="16" t="s">
        <v>76</v>
      </c>
    </row>
    <row r="14" spans="1:14" ht="13.2">
      <c r="A14" s="43">
        <v>12</v>
      </c>
      <c r="B14" s="82">
        <v>145</v>
      </c>
      <c r="C14" s="117" t="s">
        <v>96</v>
      </c>
      <c r="D14" t="s">
        <v>97</v>
      </c>
      <c r="E14" s="118" t="s">
        <v>70</v>
      </c>
      <c r="F14" s="119">
        <v>4.7222222222222221E-5</v>
      </c>
      <c r="G14" s="27">
        <v>4.7337962962962961E-5</v>
      </c>
      <c r="H14" s="27">
        <v>4.7222222222222221E-5</v>
      </c>
      <c r="I14" s="27" t="s">
        <v>55</v>
      </c>
      <c r="J14" s="27" t="s">
        <v>55</v>
      </c>
      <c r="K14" s="27">
        <v>4.1666666666666664E-2</v>
      </c>
      <c r="L14" s="16" t="s">
        <v>98</v>
      </c>
      <c r="M14" s="16" t="s">
        <v>99</v>
      </c>
    </row>
    <row r="15" spans="1:14" ht="13.2">
      <c r="A15" s="43">
        <v>13</v>
      </c>
      <c r="B15" s="82">
        <v>12</v>
      </c>
      <c r="C15" s="117" t="s">
        <v>100</v>
      </c>
      <c r="D15" t="s">
        <v>101</v>
      </c>
      <c r="E15" s="118" t="s">
        <v>61</v>
      </c>
      <c r="F15" s="119">
        <v>4.7916666666666661E-5</v>
      </c>
      <c r="G15" s="27" t="s">
        <v>43</v>
      </c>
      <c r="H15" s="27">
        <v>4.7916666666666661E-5</v>
      </c>
      <c r="I15" s="27" t="s">
        <v>55</v>
      </c>
      <c r="J15" s="27" t="s">
        <v>55</v>
      </c>
      <c r="K15" s="27">
        <v>4.1666666666666664E-2</v>
      </c>
    </row>
    <row r="16" spans="1:14" ht="13.8">
      <c r="A16" s="43">
        <v>14</v>
      </c>
      <c r="B16" s="82">
        <v>118</v>
      </c>
      <c r="C16" s="117" t="s">
        <v>102</v>
      </c>
      <c r="D16" t="s">
        <v>103</v>
      </c>
      <c r="E16" s="118" t="s">
        <v>70</v>
      </c>
      <c r="F16" s="119">
        <v>4.8263888888888888E-5</v>
      </c>
      <c r="G16" s="27">
        <v>4.8263888888888888E-5</v>
      </c>
      <c r="H16" s="27">
        <v>4.8726851851851848E-5</v>
      </c>
      <c r="I16" s="27" t="s">
        <v>55</v>
      </c>
      <c r="J16" s="27" t="s">
        <v>55</v>
      </c>
      <c r="K16" s="27">
        <v>4.1666666666666664E-2</v>
      </c>
      <c r="L16" s="122" t="s">
        <v>280</v>
      </c>
      <c r="M16" s="16" t="s">
        <v>104</v>
      </c>
      <c r="N16" s="16" t="s">
        <v>105</v>
      </c>
    </row>
    <row r="17" spans="1:14" ht="13.8">
      <c r="A17" s="43">
        <v>15</v>
      </c>
      <c r="B17" s="82">
        <v>51</v>
      </c>
      <c r="C17" s="117" t="s">
        <v>106</v>
      </c>
      <c r="D17" t="s">
        <v>107</v>
      </c>
      <c r="E17" s="118" t="s">
        <v>61</v>
      </c>
      <c r="F17" s="119">
        <v>4.8726851851851848E-5</v>
      </c>
      <c r="G17" s="27">
        <v>4.8958333333333335E-5</v>
      </c>
      <c r="H17" s="27">
        <v>4.8726851851851848E-5</v>
      </c>
      <c r="I17" s="27" t="s">
        <v>55</v>
      </c>
      <c r="J17" s="27" t="s">
        <v>55</v>
      </c>
      <c r="K17" s="27">
        <v>4.1666666666666664E-2</v>
      </c>
      <c r="L17" s="122" t="str">
        <f ca="1">IF(L2="Licha","Autonomní medvěd","Čára")</f>
        <v>Autonomní medvěd</v>
      </c>
      <c r="M17" s="16" t="s">
        <v>108</v>
      </c>
      <c r="N17" s="16" t="s">
        <v>105</v>
      </c>
    </row>
    <row r="18" spans="1:14" ht="13.2">
      <c r="A18" s="43">
        <v>16</v>
      </c>
      <c r="B18" s="82">
        <v>103</v>
      </c>
      <c r="C18" s="117" t="s">
        <v>109</v>
      </c>
      <c r="D18" t="s">
        <v>110</v>
      </c>
      <c r="E18" s="118" t="s">
        <v>61</v>
      </c>
      <c r="F18" s="119">
        <v>4.9305555555555555E-5</v>
      </c>
      <c r="G18" s="27">
        <v>4.9305555555555555E-5</v>
      </c>
      <c r="H18" s="27">
        <v>6.7407407407407412E-5</v>
      </c>
      <c r="I18" s="27" t="s">
        <v>55</v>
      </c>
      <c r="J18" s="27" t="s">
        <v>55</v>
      </c>
      <c r="K18" s="27">
        <v>4.1666666666666664E-2</v>
      </c>
    </row>
    <row r="19" spans="1:14" ht="13.2">
      <c r="A19" s="43">
        <v>17</v>
      </c>
      <c r="B19" s="82">
        <v>148</v>
      </c>
      <c r="C19" s="117" t="s">
        <v>111</v>
      </c>
      <c r="D19" t="s">
        <v>112</v>
      </c>
      <c r="E19" s="118" t="s">
        <v>61</v>
      </c>
      <c r="F19" s="119">
        <v>4.9305555555555555E-5</v>
      </c>
      <c r="G19" s="27" t="s">
        <v>48</v>
      </c>
      <c r="H19" s="27">
        <v>4.9305555555555555E-5</v>
      </c>
      <c r="I19" s="27" t="s">
        <v>55</v>
      </c>
      <c r="J19" s="27" t="s">
        <v>55</v>
      </c>
      <c r="K19" s="27">
        <v>4.1666666666666664E-2</v>
      </c>
      <c r="L19" s="45" t="s">
        <v>113</v>
      </c>
    </row>
    <row r="20" spans="1:14" ht="13.2">
      <c r="A20" s="43">
        <v>18</v>
      </c>
      <c r="B20" s="82">
        <v>126</v>
      </c>
      <c r="C20" s="117" t="s">
        <v>114</v>
      </c>
      <c r="D20" t="s">
        <v>115</v>
      </c>
      <c r="E20" s="118" t="s">
        <v>61</v>
      </c>
      <c r="F20" s="119">
        <v>5.2546296296296297E-5</v>
      </c>
      <c r="G20" s="27">
        <v>5.2546296296296297E-5</v>
      </c>
      <c r="H20" s="27">
        <v>5.3587962962962964E-5</v>
      </c>
      <c r="I20" s="27" t="s">
        <v>55</v>
      </c>
      <c r="J20" s="27" t="s">
        <v>55</v>
      </c>
      <c r="K20" s="27">
        <v>4.1666666666666664E-2</v>
      </c>
      <c r="L20" s="16" t="s">
        <v>116</v>
      </c>
    </row>
    <row r="21" spans="1:14" ht="13.2">
      <c r="A21" s="43">
        <v>19</v>
      </c>
      <c r="B21" s="82">
        <v>24</v>
      </c>
      <c r="C21" s="117" t="s">
        <v>117</v>
      </c>
      <c r="D21" t="s">
        <v>69</v>
      </c>
      <c r="E21" s="118" t="s">
        <v>61</v>
      </c>
      <c r="F21" s="119">
        <v>5.3414351851851847E-5</v>
      </c>
      <c r="G21" s="27" t="s">
        <v>48</v>
      </c>
      <c r="H21" s="27">
        <v>5.3414351851851847E-5</v>
      </c>
      <c r="I21" s="27" t="s">
        <v>55</v>
      </c>
      <c r="J21" s="27" t="s">
        <v>55</v>
      </c>
      <c r="K21" s="27">
        <v>4.1666666666666664E-2</v>
      </c>
      <c r="L21" s="16" t="s">
        <v>118</v>
      </c>
    </row>
    <row r="22" spans="1:14" ht="13.2">
      <c r="A22" s="43">
        <v>20</v>
      </c>
      <c r="B22" s="82">
        <v>79</v>
      </c>
      <c r="C22" s="117" t="s">
        <v>119</v>
      </c>
      <c r="D22" t="s">
        <v>120</v>
      </c>
      <c r="E22" s="118" t="s">
        <v>61</v>
      </c>
      <c r="F22" s="119">
        <v>5.3472222222222224E-5</v>
      </c>
      <c r="G22" s="27" t="s">
        <v>48</v>
      </c>
      <c r="H22" s="27">
        <v>5.3472222222222224E-5</v>
      </c>
      <c r="I22" s="27" t="s">
        <v>55</v>
      </c>
      <c r="J22" s="27" t="s">
        <v>55</v>
      </c>
      <c r="K22" s="27">
        <v>4.1666666666666664E-2</v>
      </c>
      <c r="L22" s="16" t="s">
        <v>121</v>
      </c>
    </row>
    <row r="23" spans="1:14" ht="13.2">
      <c r="A23" s="43">
        <v>21</v>
      </c>
      <c r="B23" s="82">
        <v>119</v>
      </c>
      <c r="C23" s="117" t="s">
        <v>122</v>
      </c>
      <c r="D23" t="s">
        <v>123</v>
      </c>
      <c r="E23" s="118" t="s">
        <v>70</v>
      </c>
      <c r="F23" s="119">
        <v>5.3703703703703697E-5</v>
      </c>
      <c r="G23" s="27">
        <v>5.3703703703703697E-5</v>
      </c>
      <c r="H23" s="27">
        <v>7.0567129629629639E-5</v>
      </c>
      <c r="I23" s="27" t="s">
        <v>55</v>
      </c>
      <c r="J23" s="27" t="s">
        <v>55</v>
      </c>
      <c r="K23" s="27">
        <v>4.1666666666666664E-2</v>
      </c>
      <c r="L23" s="16" t="s">
        <v>124</v>
      </c>
    </row>
    <row r="24" spans="1:14" ht="13.2">
      <c r="A24" s="43">
        <v>22</v>
      </c>
      <c r="B24" s="82">
        <v>2</v>
      </c>
      <c r="C24" s="117" t="s">
        <v>125</v>
      </c>
      <c r="D24" t="s">
        <v>126</v>
      </c>
      <c r="E24" s="118" t="s">
        <v>61</v>
      </c>
      <c r="F24" s="119">
        <v>5.4629629629629624E-5</v>
      </c>
      <c r="G24" s="27">
        <v>5.4629629629629624E-5</v>
      </c>
      <c r="H24" s="27">
        <v>6.9513888888888897E-5</v>
      </c>
      <c r="I24" s="27" t="s">
        <v>55</v>
      </c>
      <c r="J24" s="27" t="s">
        <v>55</v>
      </c>
      <c r="K24" s="27">
        <v>4.1666666666666664E-2</v>
      </c>
      <c r="L24" s="16" t="s">
        <v>127</v>
      </c>
    </row>
    <row r="25" spans="1:14" ht="13.2">
      <c r="A25" s="43">
        <v>23</v>
      </c>
      <c r="B25" s="82">
        <v>60</v>
      </c>
      <c r="C25" s="117" t="s">
        <v>128</v>
      </c>
      <c r="D25" t="s">
        <v>129</v>
      </c>
      <c r="E25" s="118" t="s">
        <v>61</v>
      </c>
      <c r="F25" s="119">
        <v>5.5092592592592591E-5</v>
      </c>
      <c r="G25" s="27">
        <v>5.5092592592592591E-5</v>
      </c>
      <c r="H25" s="27" t="s">
        <v>55</v>
      </c>
      <c r="I25" s="27" t="s">
        <v>55</v>
      </c>
      <c r="J25" s="27" t="s">
        <v>55</v>
      </c>
      <c r="K25" s="27">
        <v>4.1666666666666664E-2</v>
      </c>
      <c r="L25" s="16" t="s">
        <v>130</v>
      </c>
    </row>
    <row r="26" spans="1:14" ht="13.2">
      <c r="A26" s="43">
        <v>24</v>
      </c>
      <c r="B26" s="82">
        <v>133</v>
      </c>
      <c r="C26" s="117" t="s">
        <v>131</v>
      </c>
      <c r="D26" t="s">
        <v>132</v>
      </c>
      <c r="E26" s="118" t="s">
        <v>61</v>
      </c>
      <c r="F26" s="119">
        <v>5.5902777777777778E-5</v>
      </c>
      <c r="G26" s="27">
        <v>8.0046296296296308E-5</v>
      </c>
      <c r="H26" s="27">
        <v>5.5902777777777778E-5</v>
      </c>
      <c r="I26" s="27" t="s">
        <v>55</v>
      </c>
      <c r="J26" s="27" t="s">
        <v>55</v>
      </c>
      <c r="K26" s="27">
        <v>4.1666666666666664E-2</v>
      </c>
    </row>
    <row r="27" spans="1:14" ht="13.2">
      <c r="A27" s="43">
        <v>25</v>
      </c>
      <c r="B27" s="82">
        <v>94</v>
      </c>
      <c r="C27" s="117" t="s">
        <v>133</v>
      </c>
      <c r="D27" t="s">
        <v>134</v>
      </c>
      <c r="E27" s="118" t="s">
        <v>61</v>
      </c>
      <c r="F27" s="119">
        <v>5.612268518518519E-5</v>
      </c>
      <c r="G27" s="27" t="s">
        <v>48</v>
      </c>
      <c r="H27" s="27">
        <v>5.612268518518519E-5</v>
      </c>
      <c r="I27" s="27" t="s">
        <v>55</v>
      </c>
      <c r="J27" s="27" t="s">
        <v>55</v>
      </c>
      <c r="K27" s="27">
        <v>4.1666666666666664E-2</v>
      </c>
    </row>
    <row r="28" spans="1:14" ht="13.2">
      <c r="A28" s="43">
        <v>26</v>
      </c>
      <c r="B28" s="82">
        <v>1</v>
      </c>
      <c r="C28" s="117" t="s">
        <v>135</v>
      </c>
      <c r="D28" t="s">
        <v>126</v>
      </c>
      <c r="E28" s="118" t="s">
        <v>61</v>
      </c>
      <c r="F28" s="119">
        <v>5.6134259259259258E-5</v>
      </c>
      <c r="G28" s="27" t="s">
        <v>43</v>
      </c>
      <c r="H28" s="27">
        <v>5.6134259259259258E-5</v>
      </c>
      <c r="I28" s="27" t="s">
        <v>55</v>
      </c>
      <c r="J28" s="27" t="s">
        <v>55</v>
      </c>
      <c r="K28" s="27">
        <v>4.1666666666666664E-2</v>
      </c>
    </row>
    <row r="29" spans="1:14" ht="13.2">
      <c r="A29" s="43">
        <v>27</v>
      </c>
      <c r="B29" s="82">
        <v>91</v>
      </c>
      <c r="C29" s="117" t="s">
        <v>136</v>
      </c>
      <c r="D29" t="s">
        <v>137</v>
      </c>
      <c r="E29" s="118" t="s">
        <v>61</v>
      </c>
      <c r="F29" s="119">
        <v>5.6828703703703705E-5</v>
      </c>
      <c r="G29" s="27">
        <v>5.6828703703703705E-5</v>
      </c>
      <c r="H29" s="27">
        <v>5.7291666666666666E-5</v>
      </c>
      <c r="I29" s="27" t="s">
        <v>55</v>
      </c>
      <c r="J29" s="27" t="s">
        <v>55</v>
      </c>
      <c r="K29" s="27">
        <v>4.1666666666666664E-2</v>
      </c>
    </row>
    <row r="30" spans="1:14" ht="13.2">
      <c r="A30" s="43">
        <v>28</v>
      </c>
      <c r="B30" s="82">
        <v>183</v>
      </c>
      <c r="C30" s="117" t="s">
        <v>138</v>
      </c>
      <c r="D30" t="s">
        <v>139</v>
      </c>
      <c r="E30" s="118" t="s">
        <v>54</v>
      </c>
      <c r="F30" s="119">
        <v>5.7175925925925932E-5</v>
      </c>
      <c r="G30" s="27" t="s">
        <v>48</v>
      </c>
      <c r="H30" s="27">
        <v>5.7175925925925932E-5</v>
      </c>
      <c r="I30" s="27" t="s">
        <v>55</v>
      </c>
      <c r="J30" s="27" t="s">
        <v>55</v>
      </c>
      <c r="K30" s="27">
        <v>4.1666666666666664E-2</v>
      </c>
    </row>
    <row r="31" spans="1:14" ht="13.2">
      <c r="A31" s="43">
        <v>29</v>
      </c>
      <c r="B31" s="82">
        <v>88</v>
      </c>
      <c r="C31" s="117" t="s">
        <v>140</v>
      </c>
      <c r="D31" t="s">
        <v>141</v>
      </c>
      <c r="E31" s="118" t="s">
        <v>61</v>
      </c>
      <c r="F31" s="119">
        <v>5.7407407407407406E-5</v>
      </c>
      <c r="G31" s="27">
        <v>5.7407407407407406E-5</v>
      </c>
      <c r="H31" s="27">
        <v>5.7754629629629633E-5</v>
      </c>
      <c r="I31" s="27" t="s">
        <v>55</v>
      </c>
      <c r="J31" s="27" t="s">
        <v>55</v>
      </c>
      <c r="K31" s="27">
        <v>4.1666666666666664E-2</v>
      </c>
    </row>
    <row r="32" spans="1:14" ht="13.2">
      <c r="A32" s="43">
        <v>30</v>
      </c>
      <c r="B32" s="82">
        <v>21</v>
      </c>
      <c r="C32" s="117" t="s">
        <v>142</v>
      </c>
      <c r="D32" t="s">
        <v>65</v>
      </c>
      <c r="E32" s="118" t="s">
        <v>61</v>
      </c>
      <c r="F32" s="119">
        <v>5.7777777777777776E-5</v>
      </c>
      <c r="G32" s="27">
        <v>5.7777777777777776E-5</v>
      </c>
      <c r="H32" s="27" t="s">
        <v>55</v>
      </c>
      <c r="I32" s="27" t="s">
        <v>55</v>
      </c>
      <c r="J32" s="27" t="s">
        <v>55</v>
      </c>
      <c r="K32" s="27">
        <v>4.1666666666666664E-2</v>
      </c>
    </row>
    <row r="33" spans="1:11" ht="13.2">
      <c r="A33" s="43">
        <v>31</v>
      </c>
      <c r="B33" s="82">
        <v>167</v>
      </c>
      <c r="C33" s="117" t="s">
        <v>143</v>
      </c>
      <c r="D33" t="s">
        <v>144</v>
      </c>
      <c r="E33" s="118" t="s">
        <v>145</v>
      </c>
      <c r="F33" s="119">
        <v>5.8333333333333333E-5</v>
      </c>
      <c r="G33" s="27">
        <v>6.0185185185185187E-5</v>
      </c>
      <c r="H33" s="27">
        <v>5.8333333333333333E-5</v>
      </c>
      <c r="I33" s="27" t="s">
        <v>55</v>
      </c>
      <c r="J33" s="27" t="s">
        <v>55</v>
      </c>
      <c r="K33" s="27">
        <v>4.1666666666666664E-2</v>
      </c>
    </row>
    <row r="34" spans="1:11" ht="13.2">
      <c r="A34" s="43">
        <v>32</v>
      </c>
      <c r="B34" s="82">
        <v>68</v>
      </c>
      <c r="C34" s="117" t="s">
        <v>146</v>
      </c>
      <c r="D34" t="s">
        <v>147</v>
      </c>
      <c r="E34" s="118" t="s">
        <v>61</v>
      </c>
      <c r="F34" s="119">
        <v>5.9131944444444451E-5</v>
      </c>
      <c r="G34" s="27" t="s">
        <v>55</v>
      </c>
      <c r="H34" s="27">
        <v>5.9131944444444451E-5</v>
      </c>
      <c r="I34" s="27" t="s">
        <v>55</v>
      </c>
      <c r="J34" s="27" t="s">
        <v>55</v>
      </c>
      <c r="K34" s="27">
        <v>4.1666666666666664E-2</v>
      </c>
    </row>
    <row r="35" spans="1:11" ht="13.2">
      <c r="A35" s="43">
        <v>33</v>
      </c>
      <c r="B35" s="82">
        <v>13</v>
      </c>
      <c r="C35" s="117" t="s">
        <v>148</v>
      </c>
      <c r="D35" t="s">
        <v>101</v>
      </c>
      <c r="E35" s="118" t="s">
        <v>61</v>
      </c>
      <c r="F35" s="119">
        <v>5.914351851851852E-5</v>
      </c>
      <c r="G35" s="27">
        <v>6.0648148148148154E-5</v>
      </c>
      <c r="H35" s="27">
        <v>5.914351851851852E-5</v>
      </c>
      <c r="I35" s="27" t="s">
        <v>55</v>
      </c>
      <c r="J35" s="27" t="s">
        <v>55</v>
      </c>
      <c r="K35" s="27">
        <v>4.1666666666666664E-2</v>
      </c>
    </row>
    <row r="36" spans="1:11" ht="13.2">
      <c r="A36" s="43">
        <v>34</v>
      </c>
      <c r="B36" s="82">
        <v>182</v>
      </c>
      <c r="C36" s="117" t="s">
        <v>149</v>
      </c>
      <c r="D36" t="s">
        <v>139</v>
      </c>
      <c r="E36" s="118" t="s">
        <v>54</v>
      </c>
      <c r="F36" s="119">
        <v>5.9733796296296295E-5</v>
      </c>
      <c r="G36" s="27" t="s">
        <v>48</v>
      </c>
      <c r="H36" s="27">
        <v>5.9733796296296295E-5</v>
      </c>
      <c r="I36" s="27" t="s">
        <v>55</v>
      </c>
      <c r="J36" s="27" t="s">
        <v>55</v>
      </c>
      <c r="K36" s="27">
        <v>4.1666666666666664E-2</v>
      </c>
    </row>
    <row r="37" spans="1:11" ht="13.2">
      <c r="A37" s="43">
        <v>35</v>
      </c>
      <c r="B37" s="82">
        <v>111</v>
      </c>
      <c r="C37" s="117" t="s">
        <v>150</v>
      </c>
      <c r="D37" t="s">
        <v>151</v>
      </c>
      <c r="E37" s="118" t="s">
        <v>61</v>
      </c>
      <c r="F37" s="119">
        <v>6.184027777777778E-5</v>
      </c>
      <c r="G37" s="27">
        <v>6.184027777777778E-5</v>
      </c>
      <c r="H37" s="27">
        <v>6.3043981481481496E-5</v>
      </c>
      <c r="I37" s="27" t="s">
        <v>55</v>
      </c>
      <c r="J37" s="27" t="s">
        <v>55</v>
      </c>
      <c r="K37" s="27">
        <v>4.1666666666666664E-2</v>
      </c>
    </row>
    <row r="38" spans="1:11" ht="13.2">
      <c r="A38" s="43">
        <v>36</v>
      </c>
      <c r="B38" s="82">
        <v>45</v>
      </c>
      <c r="C38" s="117" t="s">
        <v>152</v>
      </c>
      <c r="D38" t="s">
        <v>153</v>
      </c>
      <c r="E38" s="118" t="s">
        <v>70</v>
      </c>
      <c r="F38" s="119">
        <v>6.1921296296296288E-5</v>
      </c>
      <c r="G38" s="27" t="s">
        <v>55</v>
      </c>
      <c r="H38" s="27">
        <v>6.1921296296296288E-5</v>
      </c>
      <c r="I38" s="27" t="s">
        <v>55</v>
      </c>
      <c r="J38" s="27" t="s">
        <v>55</v>
      </c>
      <c r="K38" s="27">
        <v>4.1666666666666664E-2</v>
      </c>
    </row>
    <row r="39" spans="1:11" ht="13.2">
      <c r="A39" s="43">
        <v>37</v>
      </c>
      <c r="B39" s="82">
        <v>188</v>
      </c>
      <c r="C39" s="117" t="s">
        <v>154</v>
      </c>
      <c r="D39" t="s">
        <v>155</v>
      </c>
      <c r="E39" s="118" t="s">
        <v>70</v>
      </c>
      <c r="F39" s="119">
        <v>6.2268518518518521E-5</v>
      </c>
      <c r="G39" s="27">
        <v>6.2268518518518521E-5</v>
      </c>
      <c r="H39" s="27" t="s">
        <v>55</v>
      </c>
      <c r="I39" s="27" t="s">
        <v>55</v>
      </c>
      <c r="J39" s="27" t="s">
        <v>55</v>
      </c>
      <c r="K39" s="27">
        <v>4.1666666666666664E-2</v>
      </c>
    </row>
    <row r="40" spans="1:11" ht="13.2">
      <c r="A40" s="43">
        <v>38</v>
      </c>
      <c r="B40" s="82">
        <v>38</v>
      </c>
      <c r="C40" s="117" t="s">
        <v>156</v>
      </c>
      <c r="D40" t="s">
        <v>157</v>
      </c>
      <c r="E40" s="118" t="s">
        <v>61</v>
      </c>
      <c r="F40" s="119">
        <v>6.2743055555555564E-5</v>
      </c>
      <c r="G40" s="27">
        <v>6.2743055555555564E-5</v>
      </c>
      <c r="H40" s="27">
        <v>6.2893518518518523E-5</v>
      </c>
      <c r="I40" s="27" t="s">
        <v>55</v>
      </c>
      <c r="J40" s="27" t="s">
        <v>55</v>
      </c>
      <c r="K40" s="27">
        <v>4.1666666666666664E-2</v>
      </c>
    </row>
    <row r="41" spans="1:11" ht="13.2">
      <c r="A41" s="43">
        <v>39</v>
      </c>
      <c r="B41" s="82">
        <v>127</v>
      </c>
      <c r="C41" s="117" t="s">
        <v>158</v>
      </c>
      <c r="D41" t="s">
        <v>115</v>
      </c>
      <c r="E41" s="118" t="s">
        <v>61</v>
      </c>
      <c r="F41" s="119">
        <v>6.4236111111111115E-5</v>
      </c>
      <c r="G41" s="27">
        <v>6.4236111111111115E-5</v>
      </c>
      <c r="H41" s="27">
        <v>6.4930555555555556E-5</v>
      </c>
      <c r="I41" s="27" t="s">
        <v>55</v>
      </c>
      <c r="J41" s="27" t="s">
        <v>55</v>
      </c>
      <c r="K41" s="27">
        <v>4.1666666666666664E-2</v>
      </c>
    </row>
    <row r="42" spans="1:11" ht="13.2">
      <c r="A42" s="43">
        <v>40</v>
      </c>
      <c r="B42" s="82">
        <v>25</v>
      </c>
      <c r="C42" s="117" t="s">
        <v>159</v>
      </c>
      <c r="D42" t="s">
        <v>160</v>
      </c>
      <c r="E42" s="118" t="s">
        <v>70</v>
      </c>
      <c r="F42" s="119">
        <v>7.8472222222222222E-5</v>
      </c>
      <c r="G42" s="27" t="s">
        <v>48</v>
      </c>
      <c r="H42" s="27">
        <v>7.8472222222222222E-5</v>
      </c>
      <c r="I42" s="27" t="s">
        <v>55</v>
      </c>
      <c r="J42" s="27" t="s">
        <v>55</v>
      </c>
      <c r="K42" s="27">
        <v>4.1666666666666664E-2</v>
      </c>
    </row>
    <row r="43" spans="1:11" ht="13.2">
      <c r="A43" s="43">
        <v>41</v>
      </c>
      <c r="B43" s="82">
        <v>109</v>
      </c>
      <c r="C43" s="117" t="s">
        <v>161</v>
      </c>
      <c r="D43" t="s">
        <v>162</v>
      </c>
      <c r="E43" s="118" t="s">
        <v>61</v>
      </c>
      <c r="F43" s="119">
        <v>8.0208333333333336E-5</v>
      </c>
      <c r="G43" s="27">
        <v>8.0208333333333336E-5</v>
      </c>
      <c r="H43" s="27">
        <v>9.0393518518518514E-5</v>
      </c>
      <c r="I43" s="27" t="s">
        <v>55</v>
      </c>
      <c r="J43" s="27" t="s">
        <v>55</v>
      </c>
      <c r="K43" s="27">
        <v>4.1666666666666664E-2</v>
      </c>
    </row>
    <row r="44" spans="1:11" ht="13.2">
      <c r="A44" s="43">
        <v>42</v>
      </c>
      <c r="B44" s="82">
        <v>8</v>
      </c>
      <c r="C44" s="117" t="s">
        <v>165</v>
      </c>
      <c r="D44" t="s">
        <v>166</v>
      </c>
      <c r="E44" s="118" t="s">
        <v>61</v>
      </c>
      <c r="F44" s="119">
        <v>8.0902777777777776E-5</v>
      </c>
      <c r="G44" s="27">
        <v>8.3449074074074071E-5</v>
      </c>
      <c r="H44" s="27">
        <v>8.0902777777777776E-5</v>
      </c>
      <c r="I44" s="27" t="s">
        <v>55</v>
      </c>
      <c r="J44" s="27" t="s">
        <v>55</v>
      </c>
      <c r="K44" s="27">
        <v>4.1666666666666664E-2</v>
      </c>
    </row>
    <row r="45" spans="1:11" ht="13.2">
      <c r="A45" s="43">
        <v>43</v>
      </c>
      <c r="B45" s="82">
        <v>128</v>
      </c>
      <c r="C45" s="117" t="s">
        <v>167</v>
      </c>
      <c r="D45" t="s">
        <v>168</v>
      </c>
      <c r="E45" s="118" t="s">
        <v>70</v>
      </c>
      <c r="F45" s="119">
        <v>9.0740740740740734E-5</v>
      </c>
      <c r="G45" s="27" t="s">
        <v>48</v>
      </c>
      <c r="H45" s="27">
        <v>9.0740740740740734E-5</v>
      </c>
      <c r="I45" s="27" t="s">
        <v>55</v>
      </c>
      <c r="J45" s="27" t="s">
        <v>55</v>
      </c>
      <c r="K45" s="27">
        <v>4.1666666666666664E-2</v>
      </c>
    </row>
    <row r="46" spans="1:11" ht="13.2">
      <c r="A46" s="43">
        <v>44</v>
      </c>
      <c r="B46" s="82">
        <v>160</v>
      </c>
      <c r="C46" s="117" t="s">
        <v>169</v>
      </c>
      <c r="D46" t="s">
        <v>170</v>
      </c>
      <c r="E46" s="118" t="s">
        <v>61</v>
      </c>
      <c r="F46" s="119">
        <v>1.1064814814814816E-4</v>
      </c>
      <c r="G46" s="27" t="s">
        <v>55</v>
      </c>
      <c r="H46" s="27">
        <v>1.1064814814814816E-4</v>
      </c>
      <c r="I46" s="27" t="s">
        <v>55</v>
      </c>
      <c r="J46" s="27" t="s">
        <v>55</v>
      </c>
      <c r="K46" s="27">
        <v>4.1666666666666664E-2</v>
      </c>
    </row>
    <row r="47" spans="1:11" ht="13.2">
      <c r="A47" s="43">
        <v>45</v>
      </c>
      <c r="B47" s="82">
        <v>35</v>
      </c>
      <c r="C47" s="117" t="s">
        <v>171</v>
      </c>
      <c r="D47" t="s">
        <v>172</v>
      </c>
      <c r="E47" s="118" t="s">
        <v>54</v>
      </c>
      <c r="F47" s="119">
        <v>1.1666666666666667E-4</v>
      </c>
      <c r="G47" s="27" t="s">
        <v>55</v>
      </c>
      <c r="H47" s="27">
        <v>1.1666666666666667E-4</v>
      </c>
      <c r="I47" s="27" t="s">
        <v>55</v>
      </c>
      <c r="J47" s="27" t="s">
        <v>55</v>
      </c>
      <c r="K47" s="27">
        <v>4.1666666666666664E-2</v>
      </c>
    </row>
    <row r="48" spans="1:11" ht="13.2">
      <c r="A48" s="43">
        <v>46</v>
      </c>
      <c r="B48" s="82">
        <v>136</v>
      </c>
      <c r="C48" s="117" t="s">
        <v>173</v>
      </c>
      <c r="D48" t="s">
        <v>174</v>
      </c>
      <c r="E48" s="118" t="s">
        <v>61</v>
      </c>
      <c r="F48" s="119">
        <v>1.3030092592592593E-4</v>
      </c>
      <c r="G48" s="27" t="s">
        <v>48</v>
      </c>
      <c r="H48" s="27">
        <v>1.3030092592592593E-4</v>
      </c>
      <c r="I48" s="27" t="s">
        <v>55</v>
      </c>
      <c r="J48" s="27" t="s">
        <v>55</v>
      </c>
      <c r="K48" s="27">
        <v>4.1666666666666664E-2</v>
      </c>
    </row>
    <row r="49" spans="1:11" ht="13.2">
      <c r="A49" s="43">
        <v>47</v>
      </c>
      <c r="B49" s="82">
        <v>14</v>
      </c>
      <c r="C49" s="117" t="s">
        <v>175</v>
      </c>
      <c r="D49" t="s">
        <v>176</v>
      </c>
      <c r="E49" s="118" t="s">
        <v>61</v>
      </c>
      <c r="F49" s="119">
        <v>1.9699074074074074E-4</v>
      </c>
      <c r="G49" s="27">
        <v>1.9826388888888888E-4</v>
      </c>
      <c r="H49" s="27">
        <v>1.9699074074074074E-4</v>
      </c>
      <c r="I49" s="27" t="s">
        <v>55</v>
      </c>
      <c r="J49" s="27" t="s">
        <v>55</v>
      </c>
      <c r="K49" s="27">
        <v>4.1666666666666664E-2</v>
      </c>
    </row>
    <row r="50" spans="1:11" ht="13.2">
      <c r="A50" s="43">
        <v>48</v>
      </c>
      <c r="B50" s="82">
        <v>116</v>
      </c>
      <c r="C50" s="117" t="s">
        <v>177</v>
      </c>
      <c r="D50" t="s">
        <v>178</v>
      </c>
      <c r="E50" s="118" t="s">
        <v>61</v>
      </c>
      <c r="F50" s="119">
        <v>2.2731481481481482E-4</v>
      </c>
      <c r="G50" s="27" t="s">
        <v>48</v>
      </c>
      <c r="H50" s="27">
        <v>2.2731481481481482E-4</v>
      </c>
      <c r="I50" s="27" t="s">
        <v>55</v>
      </c>
      <c r="J50" s="27" t="s">
        <v>55</v>
      </c>
      <c r="K50" s="27">
        <v>4.1666666666666664E-2</v>
      </c>
    </row>
    <row r="51" spans="1:11" ht="13.2">
      <c r="A51" s="43">
        <v>49</v>
      </c>
      <c r="B51" s="82">
        <v>11</v>
      </c>
      <c r="C51" s="117" t="s">
        <v>179</v>
      </c>
      <c r="D51" t="s">
        <v>180</v>
      </c>
      <c r="E51" s="118" t="s">
        <v>61</v>
      </c>
      <c r="F51" s="119">
        <v>4.1666666666666664E-2</v>
      </c>
      <c r="G51" s="27" t="s">
        <v>43</v>
      </c>
      <c r="H51" s="27" t="s">
        <v>55</v>
      </c>
      <c r="I51" s="27" t="s">
        <v>55</v>
      </c>
      <c r="J51" s="27" t="s">
        <v>55</v>
      </c>
      <c r="K51" s="27">
        <v>4.1666666666666664E-2</v>
      </c>
    </row>
    <row r="52" spans="1:11" ht="13.2">
      <c r="A52" s="43">
        <v>50</v>
      </c>
      <c r="B52" s="82">
        <v>34</v>
      </c>
      <c r="C52" s="117" t="s">
        <v>181</v>
      </c>
      <c r="D52" t="s">
        <v>182</v>
      </c>
      <c r="E52" s="118" t="s">
        <v>61</v>
      </c>
      <c r="F52" s="119">
        <v>4.1666666666666664E-2</v>
      </c>
      <c r="G52" s="27" t="s">
        <v>48</v>
      </c>
      <c r="H52" s="27" t="s">
        <v>48</v>
      </c>
      <c r="I52" s="27" t="s">
        <v>55</v>
      </c>
      <c r="J52" s="27" t="s">
        <v>55</v>
      </c>
      <c r="K52" s="27">
        <v>4.1666666666666664E-2</v>
      </c>
    </row>
    <row r="53" spans="1:11" ht="13.2">
      <c r="A53" s="43">
        <v>51</v>
      </c>
      <c r="B53" s="82">
        <v>37</v>
      </c>
      <c r="C53" s="117" t="s">
        <v>183</v>
      </c>
      <c r="D53" t="s">
        <v>157</v>
      </c>
      <c r="E53" s="118" t="s">
        <v>70</v>
      </c>
      <c r="F53" s="119">
        <v>4.1666666666666664E-2</v>
      </c>
      <c r="G53" s="27" t="s">
        <v>48</v>
      </c>
      <c r="H53" s="27" t="s">
        <v>55</v>
      </c>
      <c r="I53" s="27" t="s">
        <v>55</v>
      </c>
      <c r="J53" s="27" t="s">
        <v>55</v>
      </c>
      <c r="K53" s="27">
        <v>4.1666666666666664E-2</v>
      </c>
    </row>
    <row r="54" spans="1:11" ht="13.2">
      <c r="A54" s="43">
        <v>52</v>
      </c>
      <c r="B54" s="82">
        <v>39</v>
      </c>
      <c r="C54" s="117" t="s">
        <v>184</v>
      </c>
      <c r="D54" t="s">
        <v>157</v>
      </c>
      <c r="E54" s="118" t="s">
        <v>61</v>
      </c>
      <c r="F54" s="119">
        <v>4.1666666666666664E-2</v>
      </c>
      <c r="G54" s="27" t="s">
        <v>48</v>
      </c>
      <c r="H54" s="27" t="s">
        <v>48</v>
      </c>
      <c r="I54" s="27" t="s">
        <v>55</v>
      </c>
      <c r="J54" s="27" t="s">
        <v>55</v>
      </c>
      <c r="K54" s="27">
        <v>4.1666666666666664E-2</v>
      </c>
    </row>
    <row r="55" spans="1:11" ht="13.2">
      <c r="A55" s="43">
        <v>53</v>
      </c>
      <c r="B55" s="82">
        <v>44</v>
      </c>
      <c r="C55" s="117" t="s">
        <v>185</v>
      </c>
      <c r="D55" t="s">
        <v>153</v>
      </c>
      <c r="E55" s="118" t="s">
        <v>70</v>
      </c>
      <c r="F55" s="119">
        <v>4.1666666666666664E-2</v>
      </c>
      <c r="G55" s="27" t="s">
        <v>48</v>
      </c>
      <c r="H55" s="27" t="s">
        <v>48</v>
      </c>
      <c r="I55" s="27" t="s">
        <v>55</v>
      </c>
      <c r="J55" s="27" t="s">
        <v>55</v>
      </c>
      <c r="K55" s="27">
        <v>4.1666666666666664E-2</v>
      </c>
    </row>
    <row r="56" spans="1:11" ht="13.2">
      <c r="A56" s="43">
        <v>54</v>
      </c>
      <c r="B56" s="82">
        <v>50</v>
      </c>
      <c r="C56" s="117" t="s">
        <v>186</v>
      </c>
      <c r="D56" t="s">
        <v>107</v>
      </c>
      <c r="E56" s="118" t="s">
        <v>61</v>
      </c>
      <c r="F56" s="119">
        <v>4.1666666666666664E-2</v>
      </c>
      <c r="G56" s="27" t="s">
        <v>48</v>
      </c>
      <c r="H56" s="27" t="s">
        <v>48</v>
      </c>
      <c r="I56" s="27" t="s">
        <v>55</v>
      </c>
      <c r="J56" s="27" t="s">
        <v>55</v>
      </c>
      <c r="K56" s="27">
        <v>4.1666666666666664E-2</v>
      </c>
    </row>
    <row r="57" spans="1:11" ht="13.2">
      <c r="A57" s="43">
        <v>55</v>
      </c>
      <c r="B57" s="82">
        <v>56</v>
      </c>
      <c r="C57" s="117" t="s">
        <v>187</v>
      </c>
      <c r="D57" t="s">
        <v>188</v>
      </c>
      <c r="E57" s="118" t="s">
        <v>70</v>
      </c>
      <c r="F57" s="119">
        <v>4.1666666666666664E-2</v>
      </c>
      <c r="G57" s="27" t="s">
        <v>55</v>
      </c>
      <c r="H57" s="27" t="s">
        <v>48</v>
      </c>
      <c r="I57" s="27" t="s">
        <v>55</v>
      </c>
      <c r="J57" s="27" t="s">
        <v>55</v>
      </c>
      <c r="K57" s="27">
        <v>4.1666666666666664E-2</v>
      </c>
    </row>
    <row r="58" spans="1:11" ht="13.2">
      <c r="A58" s="43">
        <v>56</v>
      </c>
      <c r="B58" s="82">
        <v>58</v>
      </c>
      <c r="C58" s="117" t="s">
        <v>189</v>
      </c>
      <c r="D58" t="s">
        <v>190</v>
      </c>
      <c r="E58" s="118" t="s">
        <v>61</v>
      </c>
      <c r="F58" s="119">
        <v>4.1666666666666664E-2</v>
      </c>
      <c r="G58" s="27" t="s">
        <v>48</v>
      </c>
      <c r="H58" s="27" t="s">
        <v>48</v>
      </c>
      <c r="I58" s="27" t="s">
        <v>55</v>
      </c>
      <c r="J58" s="27" t="s">
        <v>55</v>
      </c>
      <c r="K58" s="27">
        <v>4.1666666666666664E-2</v>
      </c>
    </row>
    <row r="59" spans="1:11" ht="13.2">
      <c r="A59" s="43">
        <v>57</v>
      </c>
      <c r="B59" s="82">
        <v>73</v>
      </c>
      <c r="C59" s="117" t="s">
        <v>191</v>
      </c>
      <c r="D59" t="s">
        <v>94</v>
      </c>
      <c r="E59" s="118" t="s">
        <v>61</v>
      </c>
      <c r="F59" s="119">
        <v>4.1666666666666664E-2</v>
      </c>
      <c r="G59" s="27" t="s">
        <v>192</v>
      </c>
      <c r="H59" s="27" t="s">
        <v>192</v>
      </c>
      <c r="I59" s="27" t="s">
        <v>55</v>
      </c>
      <c r="J59" s="27" t="s">
        <v>55</v>
      </c>
      <c r="K59" s="27">
        <v>4.1666666666666664E-2</v>
      </c>
    </row>
    <row r="60" spans="1:11" ht="13.2">
      <c r="A60" s="43">
        <v>58</v>
      </c>
      <c r="B60" s="82">
        <v>74</v>
      </c>
      <c r="C60" s="117" t="s">
        <v>193</v>
      </c>
      <c r="D60" t="s">
        <v>94</v>
      </c>
      <c r="E60" s="118" t="s">
        <v>61</v>
      </c>
      <c r="F60" s="119">
        <v>4.1666666666666664E-2</v>
      </c>
      <c r="G60" s="27" t="s">
        <v>48</v>
      </c>
      <c r="H60" s="27" t="s">
        <v>48</v>
      </c>
      <c r="I60" s="27" t="s">
        <v>55</v>
      </c>
      <c r="J60" s="27" t="s">
        <v>55</v>
      </c>
      <c r="K60" s="27">
        <v>4.1666666666666664E-2</v>
      </c>
    </row>
    <row r="61" spans="1:11" ht="13.2">
      <c r="A61" s="43">
        <v>59</v>
      </c>
      <c r="B61" s="82">
        <v>75</v>
      </c>
      <c r="C61" s="117" t="s">
        <v>194</v>
      </c>
      <c r="D61" t="s">
        <v>94</v>
      </c>
      <c r="E61" s="118" t="s">
        <v>61</v>
      </c>
      <c r="F61" s="119">
        <v>4.1666666666666664E-2</v>
      </c>
      <c r="G61" s="27" t="s">
        <v>48</v>
      </c>
      <c r="H61" s="27" t="s">
        <v>48</v>
      </c>
      <c r="I61" s="27" t="s">
        <v>55</v>
      </c>
      <c r="J61" s="27" t="s">
        <v>55</v>
      </c>
      <c r="K61" s="27">
        <v>4.1666666666666664E-2</v>
      </c>
    </row>
    <row r="62" spans="1:11" ht="13.2">
      <c r="A62" s="43">
        <v>60</v>
      </c>
      <c r="B62" s="82">
        <v>81</v>
      </c>
      <c r="C62" s="117" t="s">
        <v>195</v>
      </c>
      <c r="D62" t="s">
        <v>196</v>
      </c>
      <c r="E62" s="118" t="s">
        <v>61</v>
      </c>
      <c r="F62" s="119">
        <v>4.1666666666666664E-2</v>
      </c>
      <c r="G62" s="27" t="s">
        <v>48</v>
      </c>
      <c r="H62" s="27" t="s">
        <v>48</v>
      </c>
      <c r="I62" s="27" t="s">
        <v>55</v>
      </c>
      <c r="J62" s="27" t="s">
        <v>55</v>
      </c>
      <c r="K62" s="27">
        <v>4.1666666666666664E-2</v>
      </c>
    </row>
    <row r="63" spans="1:11" ht="13.2">
      <c r="A63" s="43">
        <v>61</v>
      </c>
      <c r="B63" s="82">
        <v>82</v>
      </c>
      <c r="C63" s="117" t="s">
        <v>197</v>
      </c>
      <c r="D63" t="s">
        <v>196</v>
      </c>
      <c r="E63" s="118" t="s">
        <v>61</v>
      </c>
      <c r="F63" s="119">
        <v>4.1666666666666664E-2</v>
      </c>
      <c r="G63" s="27" t="s">
        <v>55</v>
      </c>
      <c r="H63" s="27" t="s">
        <v>55</v>
      </c>
      <c r="I63" s="27" t="s">
        <v>55</v>
      </c>
      <c r="J63" s="27" t="s">
        <v>55</v>
      </c>
      <c r="K63" s="27">
        <v>4.1666666666666664E-2</v>
      </c>
    </row>
    <row r="64" spans="1:11" ht="13.2">
      <c r="A64" s="43">
        <v>62</v>
      </c>
      <c r="B64" s="82">
        <v>83</v>
      </c>
      <c r="C64" s="117" t="s">
        <v>198</v>
      </c>
      <c r="D64" t="s">
        <v>196</v>
      </c>
      <c r="E64" s="118" t="s">
        <v>70</v>
      </c>
      <c r="F64" s="119">
        <v>4.1666666666666664E-2</v>
      </c>
      <c r="G64" s="27" t="s">
        <v>48</v>
      </c>
      <c r="H64" s="27" t="s">
        <v>55</v>
      </c>
      <c r="I64" s="27" t="s">
        <v>55</v>
      </c>
      <c r="J64" s="27" t="s">
        <v>55</v>
      </c>
      <c r="K64" s="27">
        <v>4.1666666666666664E-2</v>
      </c>
    </row>
    <row r="65" spans="1:11" ht="13.2">
      <c r="A65" s="43">
        <v>63</v>
      </c>
      <c r="B65" s="82">
        <v>85</v>
      </c>
      <c r="C65" s="117" t="s">
        <v>199</v>
      </c>
      <c r="D65" t="s">
        <v>200</v>
      </c>
      <c r="E65" s="118" t="s">
        <v>61</v>
      </c>
      <c r="F65" s="119">
        <v>4.1666666666666664E-2</v>
      </c>
      <c r="G65" s="27" t="s">
        <v>48</v>
      </c>
      <c r="H65" s="27" t="s">
        <v>48</v>
      </c>
      <c r="I65" s="27" t="s">
        <v>55</v>
      </c>
      <c r="J65" s="27" t="s">
        <v>55</v>
      </c>
      <c r="K65" s="27">
        <v>4.1666666666666664E-2</v>
      </c>
    </row>
    <row r="66" spans="1:11" ht="13.2">
      <c r="A66" s="43">
        <v>64</v>
      </c>
      <c r="B66" s="82">
        <v>89</v>
      </c>
      <c r="C66" s="117" t="s">
        <v>201</v>
      </c>
      <c r="D66" t="s">
        <v>202</v>
      </c>
      <c r="E66" s="118" t="s">
        <v>61</v>
      </c>
      <c r="F66" s="119">
        <v>4.1666666666666664E-2</v>
      </c>
      <c r="G66" s="27" t="s">
        <v>48</v>
      </c>
      <c r="H66" s="27" t="s">
        <v>48</v>
      </c>
      <c r="I66" s="27" t="s">
        <v>55</v>
      </c>
      <c r="J66" s="27" t="s">
        <v>55</v>
      </c>
      <c r="K66" s="27">
        <v>4.1666666666666664E-2</v>
      </c>
    </row>
    <row r="67" spans="1:11" ht="13.2">
      <c r="A67" s="43">
        <v>65</v>
      </c>
      <c r="B67" s="82">
        <v>98</v>
      </c>
      <c r="C67" s="117" t="s">
        <v>203</v>
      </c>
      <c r="D67" t="s">
        <v>204</v>
      </c>
      <c r="E67" s="118" t="s">
        <v>61</v>
      </c>
      <c r="F67" s="119">
        <v>4.1666666666666664E-2</v>
      </c>
      <c r="G67" s="27" t="s">
        <v>48</v>
      </c>
      <c r="H67" s="27" t="s">
        <v>48</v>
      </c>
      <c r="I67" s="27" t="s">
        <v>55</v>
      </c>
      <c r="J67" s="27" t="s">
        <v>55</v>
      </c>
      <c r="K67" s="27">
        <v>4.1666666666666664E-2</v>
      </c>
    </row>
    <row r="68" spans="1:11" ht="13.2">
      <c r="A68" s="43">
        <v>66</v>
      </c>
      <c r="B68" s="82">
        <v>106</v>
      </c>
      <c r="C68" s="117" t="s">
        <v>205</v>
      </c>
      <c r="D68" t="s">
        <v>73</v>
      </c>
      <c r="E68" s="118" t="s">
        <v>61</v>
      </c>
      <c r="F68" s="119">
        <v>4.1666666666666664E-2</v>
      </c>
      <c r="G68" s="27" t="s">
        <v>206</v>
      </c>
      <c r="H68" s="27" t="s">
        <v>206</v>
      </c>
      <c r="I68" s="27" t="s">
        <v>55</v>
      </c>
      <c r="J68" s="27" t="s">
        <v>55</v>
      </c>
      <c r="K68" s="27">
        <v>4.1666666666666664E-2</v>
      </c>
    </row>
    <row r="69" spans="1:11" ht="13.2">
      <c r="A69" s="43">
        <v>67</v>
      </c>
      <c r="B69" s="82">
        <v>108</v>
      </c>
      <c r="C69" s="117" t="s">
        <v>207</v>
      </c>
      <c r="D69" t="s">
        <v>162</v>
      </c>
      <c r="E69" s="118" t="s">
        <v>61</v>
      </c>
      <c r="F69" s="119">
        <v>4.1666666666666664E-2</v>
      </c>
      <c r="G69" s="27" t="s">
        <v>48</v>
      </c>
      <c r="H69" s="27" t="s">
        <v>48</v>
      </c>
      <c r="I69" s="27" t="s">
        <v>55</v>
      </c>
      <c r="J69" s="27" t="s">
        <v>55</v>
      </c>
      <c r="K69" s="27">
        <v>4.1666666666666664E-2</v>
      </c>
    </row>
    <row r="70" spans="1:11" ht="13.2">
      <c r="A70" s="43">
        <v>68</v>
      </c>
      <c r="B70" s="82">
        <v>113</v>
      </c>
      <c r="C70" s="117" t="s">
        <v>208</v>
      </c>
      <c r="D70" t="s">
        <v>209</v>
      </c>
      <c r="E70" s="118" t="s">
        <v>61</v>
      </c>
      <c r="F70" s="119">
        <v>4.1666666666666664E-2</v>
      </c>
      <c r="G70" s="27" t="s">
        <v>48</v>
      </c>
      <c r="H70" s="27" t="s">
        <v>48</v>
      </c>
      <c r="I70" s="27" t="s">
        <v>55</v>
      </c>
      <c r="J70" s="27" t="s">
        <v>55</v>
      </c>
      <c r="K70" s="27">
        <v>4.1666666666666664E-2</v>
      </c>
    </row>
    <row r="71" spans="1:11" ht="13.2">
      <c r="A71" s="43">
        <v>69</v>
      </c>
      <c r="B71" s="82">
        <v>115</v>
      </c>
      <c r="C71" s="117" t="s">
        <v>210</v>
      </c>
      <c r="D71" t="s">
        <v>211</v>
      </c>
      <c r="E71" s="118" t="s">
        <v>70</v>
      </c>
      <c r="F71" s="119">
        <v>4.1666666666666664E-2</v>
      </c>
      <c r="G71" s="27" t="s">
        <v>55</v>
      </c>
      <c r="H71" s="27" t="s">
        <v>55</v>
      </c>
      <c r="I71" s="27" t="s">
        <v>55</v>
      </c>
      <c r="J71" s="27" t="s">
        <v>55</v>
      </c>
      <c r="K71" s="27">
        <v>4.1666666666666664E-2</v>
      </c>
    </row>
    <row r="72" spans="1:11" ht="13.2">
      <c r="A72" s="43">
        <v>70</v>
      </c>
      <c r="B72" s="82">
        <v>117</v>
      </c>
      <c r="C72" s="117" t="s">
        <v>212</v>
      </c>
      <c r="D72" t="s">
        <v>213</v>
      </c>
      <c r="E72" s="118" t="s">
        <v>61</v>
      </c>
      <c r="F72" s="119">
        <v>4.1666666666666664E-2</v>
      </c>
      <c r="G72" s="27" t="s">
        <v>55</v>
      </c>
      <c r="H72" s="27" t="s">
        <v>55</v>
      </c>
      <c r="I72" s="27" t="s">
        <v>55</v>
      </c>
      <c r="J72" s="27" t="s">
        <v>55</v>
      </c>
      <c r="K72" s="27">
        <v>4.1666666666666664E-2</v>
      </c>
    </row>
    <row r="73" spans="1:11" ht="13.2">
      <c r="A73" s="43">
        <v>71</v>
      </c>
      <c r="B73" s="82">
        <v>124</v>
      </c>
      <c r="C73" s="117" t="s">
        <v>214</v>
      </c>
      <c r="D73" t="s">
        <v>215</v>
      </c>
      <c r="E73" s="118" t="s">
        <v>70</v>
      </c>
      <c r="F73" s="119">
        <v>4.1666666666666664E-2</v>
      </c>
      <c r="G73" s="27" t="s">
        <v>48</v>
      </c>
      <c r="H73" s="27" t="s">
        <v>55</v>
      </c>
      <c r="I73" s="27" t="s">
        <v>55</v>
      </c>
      <c r="J73" s="27" t="s">
        <v>55</v>
      </c>
      <c r="K73" s="27">
        <v>4.1666666666666664E-2</v>
      </c>
    </row>
    <row r="74" spans="1:11" ht="13.2">
      <c r="A74" s="43">
        <v>72</v>
      </c>
      <c r="B74" s="82">
        <v>135</v>
      </c>
      <c r="C74" s="117" t="s">
        <v>216</v>
      </c>
      <c r="D74" t="s">
        <v>217</v>
      </c>
      <c r="E74" s="118" t="s">
        <v>61</v>
      </c>
      <c r="F74" s="119">
        <v>4.1666666666666664E-2</v>
      </c>
      <c r="G74" s="27" t="s">
        <v>55</v>
      </c>
      <c r="H74" s="27" t="s">
        <v>55</v>
      </c>
      <c r="I74" s="27" t="s">
        <v>55</v>
      </c>
      <c r="J74" s="27" t="s">
        <v>55</v>
      </c>
      <c r="K74" s="27">
        <v>4.1666666666666664E-2</v>
      </c>
    </row>
    <row r="75" spans="1:11" ht="13.2">
      <c r="A75" s="43">
        <v>73</v>
      </c>
      <c r="B75" s="82">
        <v>138</v>
      </c>
      <c r="C75" s="117" t="s">
        <v>218</v>
      </c>
      <c r="D75" t="s">
        <v>219</v>
      </c>
      <c r="E75" s="118" t="s">
        <v>61</v>
      </c>
      <c r="F75" s="119">
        <v>4.1666666666666664E-2</v>
      </c>
      <c r="G75" s="27" t="s">
        <v>48</v>
      </c>
      <c r="H75" s="27" t="s">
        <v>48</v>
      </c>
      <c r="I75" s="27" t="s">
        <v>55</v>
      </c>
      <c r="J75" s="27" t="s">
        <v>55</v>
      </c>
      <c r="K75" s="27">
        <v>4.1666666666666664E-2</v>
      </c>
    </row>
    <row r="76" spans="1:11" ht="13.2">
      <c r="A76" s="43">
        <v>74</v>
      </c>
      <c r="B76" s="82">
        <v>140</v>
      </c>
      <c r="C76" s="117" t="s">
        <v>220</v>
      </c>
      <c r="D76" t="s">
        <v>221</v>
      </c>
      <c r="E76" s="118" t="s">
        <v>70</v>
      </c>
      <c r="F76" s="119">
        <v>4.1666666666666664E-2</v>
      </c>
      <c r="G76" s="27" t="s">
        <v>48</v>
      </c>
      <c r="H76" s="27" t="s">
        <v>48</v>
      </c>
      <c r="I76" s="27" t="s">
        <v>55</v>
      </c>
      <c r="J76" s="27" t="s">
        <v>55</v>
      </c>
      <c r="K76" s="27">
        <v>4.1666666666666664E-2</v>
      </c>
    </row>
    <row r="77" spans="1:11" ht="13.2">
      <c r="A77" s="43">
        <v>75</v>
      </c>
      <c r="B77" s="82">
        <v>144</v>
      </c>
      <c r="C77" s="117" t="s">
        <v>222</v>
      </c>
      <c r="D77" t="s">
        <v>223</v>
      </c>
      <c r="E77" s="118" t="s">
        <v>70</v>
      </c>
      <c r="F77" s="119">
        <v>4.1666666666666664E-2</v>
      </c>
      <c r="G77" s="27" t="s">
        <v>48</v>
      </c>
      <c r="H77" s="27" t="s">
        <v>48</v>
      </c>
      <c r="I77" s="27" t="s">
        <v>55</v>
      </c>
      <c r="J77" s="27" t="s">
        <v>55</v>
      </c>
      <c r="K77" s="27">
        <v>4.1666666666666664E-2</v>
      </c>
    </row>
    <row r="78" spans="1:11" ht="13.2">
      <c r="A78" s="43">
        <v>76</v>
      </c>
      <c r="B78" s="82">
        <v>149</v>
      </c>
      <c r="C78" s="117" t="s">
        <v>224</v>
      </c>
      <c r="D78" t="s">
        <v>225</v>
      </c>
      <c r="E78" s="118" t="s">
        <v>61</v>
      </c>
      <c r="F78" s="119">
        <v>4.1666666666666664E-2</v>
      </c>
      <c r="G78" s="27" t="s">
        <v>48</v>
      </c>
      <c r="H78" s="27" t="s">
        <v>48</v>
      </c>
      <c r="I78" s="27" t="s">
        <v>55</v>
      </c>
      <c r="J78" s="27" t="s">
        <v>55</v>
      </c>
      <c r="K78" s="27">
        <v>4.1666666666666664E-2</v>
      </c>
    </row>
    <row r="79" spans="1:11" ht="13.2">
      <c r="A79" s="43">
        <v>77</v>
      </c>
      <c r="B79" s="82">
        <v>157</v>
      </c>
      <c r="C79" s="117" t="s">
        <v>226</v>
      </c>
      <c r="D79" t="s">
        <v>82</v>
      </c>
      <c r="E79" s="118" t="s">
        <v>61</v>
      </c>
      <c r="F79" s="119">
        <v>4.1666666666666664E-2</v>
      </c>
      <c r="G79" s="27" t="s">
        <v>48</v>
      </c>
      <c r="H79" s="27" t="s">
        <v>55</v>
      </c>
      <c r="I79" s="27" t="s">
        <v>55</v>
      </c>
      <c r="J79" s="27" t="s">
        <v>55</v>
      </c>
      <c r="K79" s="27">
        <v>4.1666666666666664E-2</v>
      </c>
    </row>
    <row r="80" spans="1:11" ht="13.2">
      <c r="A80" s="43">
        <v>78</v>
      </c>
      <c r="B80" s="82">
        <v>161</v>
      </c>
      <c r="C80" s="117" t="s">
        <v>227</v>
      </c>
      <c r="D80" t="s">
        <v>228</v>
      </c>
      <c r="E80" s="118" t="s">
        <v>61</v>
      </c>
      <c r="F80" s="119">
        <v>4.1666666666666664E-2</v>
      </c>
      <c r="G80" s="27" t="s">
        <v>55</v>
      </c>
      <c r="H80" s="27" t="s">
        <v>55</v>
      </c>
      <c r="I80" s="27" t="s">
        <v>55</v>
      </c>
      <c r="J80" s="27" t="s">
        <v>55</v>
      </c>
      <c r="K80" s="27">
        <v>4.1666666666666664E-2</v>
      </c>
    </row>
    <row r="81" spans="1:11" ht="13.2">
      <c r="A81" s="43">
        <v>79</v>
      </c>
      <c r="B81" s="82">
        <v>181</v>
      </c>
      <c r="C81" s="117" t="s">
        <v>229</v>
      </c>
      <c r="D81" t="s">
        <v>230</v>
      </c>
      <c r="E81" s="118" t="s">
        <v>54</v>
      </c>
      <c r="F81" s="119">
        <v>4.1666666666666664E-2</v>
      </c>
      <c r="G81" s="27" t="s">
        <v>55</v>
      </c>
      <c r="H81" s="27" t="s">
        <v>55</v>
      </c>
      <c r="I81" s="27" t="s">
        <v>55</v>
      </c>
      <c r="J81" s="27" t="s">
        <v>55</v>
      </c>
      <c r="K81" s="27">
        <v>4.1666666666666664E-2</v>
      </c>
    </row>
    <row r="82" spans="1:11" ht="13.2">
      <c r="A82" s="43">
        <v>80</v>
      </c>
      <c r="B82" s="82"/>
      <c r="C82" s="117"/>
      <c r="E82" s="118"/>
      <c r="F82" s="119">
        <v>4.1666666666666664E-2</v>
      </c>
      <c r="G82" s="27" t="s">
        <v>55</v>
      </c>
      <c r="H82" s="27" t="s">
        <v>55</v>
      </c>
      <c r="I82" s="27" t="s">
        <v>55</v>
      </c>
      <c r="J82" s="27" t="s">
        <v>55</v>
      </c>
      <c r="K82" s="27">
        <v>4.1666666666666664E-2</v>
      </c>
    </row>
    <row r="83" spans="1:11" ht="13.2">
      <c r="A83" s="43">
        <v>81</v>
      </c>
      <c r="B83" s="82"/>
      <c r="C83" s="117"/>
      <c r="E83" s="118"/>
      <c r="F83" s="119">
        <v>4.1666666666666664E-2</v>
      </c>
      <c r="G83" s="27" t="s">
        <v>55</v>
      </c>
      <c r="H83" s="27" t="s">
        <v>55</v>
      </c>
      <c r="I83" s="27" t="s">
        <v>55</v>
      </c>
      <c r="J83" s="27" t="s">
        <v>55</v>
      </c>
      <c r="K83" s="27">
        <v>4.1666666666666664E-2</v>
      </c>
    </row>
    <row r="84" spans="1:11" ht="13.2">
      <c r="A84" s="43">
        <v>82</v>
      </c>
      <c r="B84" s="82"/>
      <c r="C84" s="117"/>
      <c r="E84" s="118"/>
      <c r="F84" s="119">
        <v>4.1666666666666664E-2</v>
      </c>
      <c r="G84" s="27" t="s">
        <v>55</v>
      </c>
      <c r="H84" s="27" t="s">
        <v>55</v>
      </c>
      <c r="I84" s="27" t="s">
        <v>55</v>
      </c>
      <c r="J84" s="27" t="s">
        <v>55</v>
      </c>
      <c r="K84" s="27">
        <v>4.1666666666666664E-2</v>
      </c>
    </row>
    <row r="85" spans="1:11" ht="13.2">
      <c r="A85" s="43">
        <v>83</v>
      </c>
      <c r="B85" s="82"/>
      <c r="C85" s="117"/>
      <c r="E85" s="118"/>
      <c r="F85" s="119">
        <v>4.1666666666666664E-2</v>
      </c>
      <c r="G85" s="27" t="s">
        <v>55</v>
      </c>
      <c r="H85" s="27" t="s">
        <v>55</v>
      </c>
      <c r="I85" s="27" t="s">
        <v>55</v>
      </c>
      <c r="J85" s="27" t="s">
        <v>55</v>
      </c>
      <c r="K85" s="27">
        <v>4.1666666666666664E-2</v>
      </c>
    </row>
    <row r="86" spans="1:11" ht="13.2">
      <c r="A86" s="43">
        <v>84</v>
      </c>
      <c r="B86" s="82"/>
      <c r="C86" s="117"/>
      <c r="E86" s="118"/>
      <c r="F86" s="119">
        <v>4.1666666666666664E-2</v>
      </c>
      <c r="G86" s="27" t="s">
        <v>55</v>
      </c>
      <c r="H86" s="27" t="s">
        <v>55</v>
      </c>
      <c r="I86" s="27" t="s">
        <v>55</v>
      </c>
      <c r="J86" s="27" t="s">
        <v>55</v>
      </c>
      <c r="K86" s="27">
        <v>4.1666666666666664E-2</v>
      </c>
    </row>
    <row r="87" spans="1:11" ht="13.2">
      <c r="A87" s="43">
        <v>85</v>
      </c>
      <c r="B87" s="82"/>
      <c r="C87" s="117"/>
      <c r="E87" s="118"/>
      <c r="F87" s="119">
        <v>4.1666666666666664E-2</v>
      </c>
      <c r="G87" s="27" t="s">
        <v>55</v>
      </c>
      <c r="H87" s="27" t="s">
        <v>55</v>
      </c>
      <c r="I87" s="27" t="s">
        <v>55</v>
      </c>
      <c r="J87" s="27" t="s">
        <v>55</v>
      </c>
      <c r="K87" s="27">
        <v>4.1666666666666664E-2</v>
      </c>
    </row>
    <row r="88" spans="1:11" ht="13.2">
      <c r="A88" s="43">
        <v>86</v>
      </c>
      <c r="B88" s="82"/>
      <c r="C88" s="117"/>
      <c r="E88" s="118"/>
      <c r="F88" s="119">
        <v>4.1666666666666664E-2</v>
      </c>
      <c r="G88" s="27" t="s">
        <v>55</v>
      </c>
      <c r="H88" s="27" t="s">
        <v>55</v>
      </c>
      <c r="I88" s="27" t="s">
        <v>55</v>
      </c>
      <c r="J88" s="27" t="s">
        <v>55</v>
      </c>
      <c r="K88" s="27">
        <v>4.1666666666666664E-2</v>
      </c>
    </row>
    <row r="89" spans="1:11" ht="13.2">
      <c r="A89" s="43">
        <v>87</v>
      </c>
      <c r="B89" s="82"/>
      <c r="C89" s="117"/>
      <c r="E89" s="118"/>
      <c r="F89" s="119">
        <v>4.1666666666666664E-2</v>
      </c>
      <c r="G89" s="27" t="s">
        <v>55</v>
      </c>
      <c r="H89" s="27" t="s">
        <v>55</v>
      </c>
      <c r="I89" s="27" t="s">
        <v>55</v>
      </c>
      <c r="J89" s="27" t="s">
        <v>55</v>
      </c>
      <c r="K89" s="27">
        <v>4.1666666666666664E-2</v>
      </c>
    </row>
    <row r="90" spans="1:11" ht="13.2">
      <c r="A90" s="43">
        <v>88</v>
      </c>
      <c r="B90" s="82"/>
      <c r="C90" s="117"/>
      <c r="E90" s="118"/>
      <c r="F90" s="119">
        <v>4.1666666666666664E-2</v>
      </c>
      <c r="G90" s="27" t="s">
        <v>55</v>
      </c>
      <c r="H90" s="27" t="s">
        <v>55</v>
      </c>
      <c r="I90" s="27" t="s">
        <v>55</v>
      </c>
      <c r="J90" s="27" t="s">
        <v>55</v>
      </c>
      <c r="K90" s="27">
        <v>4.1666666666666664E-2</v>
      </c>
    </row>
    <row r="91" spans="1:11" ht="13.2">
      <c r="A91" s="43">
        <v>89</v>
      </c>
      <c r="B91" s="82"/>
      <c r="C91" s="117"/>
      <c r="E91" s="118"/>
      <c r="F91" s="119">
        <v>4.1666666666666664E-2</v>
      </c>
      <c r="G91" s="27" t="s">
        <v>55</v>
      </c>
      <c r="H91" s="27" t="s">
        <v>55</v>
      </c>
      <c r="I91" s="27" t="s">
        <v>55</v>
      </c>
      <c r="J91" s="27" t="s">
        <v>55</v>
      </c>
      <c r="K91" s="27">
        <v>4.1666666666666664E-2</v>
      </c>
    </row>
    <row r="92" spans="1:11" ht="13.2">
      <c r="A92" s="43">
        <v>90</v>
      </c>
      <c r="B92" s="82"/>
      <c r="C92" s="117"/>
      <c r="E92" s="118"/>
      <c r="F92" s="119">
        <v>4.1666666666666664E-2</v>
      </c>
      <c r="G92" s="27" t="s">
        <v>55</v>
      </c>
      <c r="H92" s="27" t="s">
        <v>55</v>
      </c>
      <c r="I92" s="27" t="s">
        <v>55</v>
      </c>
      <c r="J92" s="27" t="s">
        <v>55</v>
      </c>
      <c r="K92" s="27">
        <v>4.1666666666666664E-2</v>
      </c>
    </row>
    <row r="93" spans="1:11" ht="13.2">
      <c r="A93" s="43">
        <v>91</v>
      </c>
      <c r="B93" s="82"/>
      <c r="C93" s="117"/>
      <c r="E93" s="118"/>
      <c r="F93" s="119">
        <v>4.1666666666666664E-2</v>
      </c>
      <c r="G93" s="27" t="s">
        <v>55</v>
      </c>
      <c r="H93" s="27" t="s">
        <v>55</v>
      </c>
      <c r="I93" s="27" t="s">
        <v>55</v>
      </c>
      <c r="J93" s="27" t="s">
        <v>55</v>
      </c>
      <c r="K93" s="27">
        <v>4.1666666666666664E-2</v>
      </c>
    </row>
    <row r="94" spans="1:11" ht="13.2">
      <c r="A94" s="43">
        <v>92</v>
      </c>
      <c r="B94" s="82"/>
      <c r="C94" s="117"/>
      <c r="E94" s="118"/>
      <c r="F94" s="119">
        <v>4.1666666666666664E-2</v>
      </c>
      <c r="G94" s="27" t="s">
        <v>55</v>
      </c>
      <c r="H94" s="27" t="s">
        <v>55</v>
      </c>
      <c r="I94" s="27" t="s">
        <v>55</v>
      </c>
      <c r="J94" s="27" t="s">
        <v>55</v>
      </c>
      <c r="K94" s="27">
        <v>4.1666666666666664E-2</v>
      </c>
    </row>
    <row r="95" spans="1:11" ht="13.2">
      <c r="A95" s="43">
        <v>93</v>
      </c>
      <c r="B95" s="82"/>
      <c r="C95" s="117"/>
      <c r="E95" s="118"/>
      <c r="F95" s="119">
        <v>4.1666666666666664E-2</v>
      </c>
      <c r="G95" s="27" t="s">
        <v>55</v>
      </c>
      <c r="H95" s="27" t="s">
        <v>55</v>
      </c>
      <c r="I95" s="27" t="s">
        <v>55</v>
      </c>
      <c r="J95" s="27" t="s">
        <v>55</v>
      </c>
      <c r="K95" s="27">
        <v>4.1666666666666664E-2</v>
      </c>
    </row>
    <row r="96" spans="1:11" ht="13.2">
      <c r="A96" s="43">
        <v>94</v>
      </c>
      <c r="B96" s="82"/>
      <c r="C96" s="117"/>
      <c r="E96" s="118"/>
      <c r="F96" s="119">
        <v>4.1666666666666664E-2</v>
      </c>
      <c r="G96" s="27" t="s">
        <v>55</v>
      </c>
      <c r="H96" s="27" t="s">
        <v>55</v>
      </c>
      <c r="I96" s="27" t="s">
        <v>55</v>
      </c>
      <c r="J96" s="27" t="s">
        <v>55</v>
      </c>
      <c r="K96" s="27">
        <v>4.1666666666666664E-2</v>
      </c>
    </row>
    <row r="97" spans="1:11" ht="13.2">
      <c r="A97" s="43">
        <v>95</v>
      </c>
      <c r="B97" s="82"/>
      <c r="C97" s="117"/>
      <c r="E97" s="118"/>
      <c r="F97" s="119">
        <v>4.1666666666666664E-2</v>
      </c>
      <c r="G97" s="27" t="s">
        <v>55</v>
      </c>
      <c r="H97" s="27" t="s">
        <v>55</v>
      </c>
      <c r="I97" s="27" t="s">
        <v>55</v>
      </c>
      <c r="J97" s="27" t="s">
        <v>55</v>
      </c>
      <c r="K97" s="27">
        <v>4.1666666666666664E-2</v>
      </c>
    </row>
    <row r="98" spans="1:11" ht="13.2">
      <c r="A98" s="43">
        <v>96</v>
      </c>
      <c r="B98" s="82"/>
      <c r="C98" s="117"/>
      <c r="E98" s="118"/>
      <c r="F98" s="119">
        <v>4.1666666666666664E-2</v>
      </c>
      <c r="G98" s="27" t="s">
        <v>55</v>
      </c>
      <c r="H98" s="27" t="s">
        <v>55</v>
      </c>
      <c r="I98" s="27" t="s">
        <v>55</v>
      </c>
      <c r="J98" s="27" t="s">
        <v>55</v>
      </c>
      <c r="K98" s="27">
        <v>4.1666666666666664E-2</v>
      </c>
    </row>
    <row r="99" spans="1:11" ht="13.2">
      <c r="A99" s="43">
        <v>97</v>
      </c>
      <c r="B99" s="82"/>
      <c r="C99" s="117"/>
      <c r="E99" s="118"/>
      <c r="F99" s="119">
        <v>4.1666666666666664E-2</v>
      </c>
      <c r="G99" s="27" t="s">
        <v>55</v>
      </c>
      <c r="H99" s="27" t="s">
        <v>55</v>
      </c>
      <c r="I99" s="27" t="s">
        <v>55</v>
      </c>
      <c r="J99" s="27" t="s">
        <v>55</v>
      </c>
      <c r="K99" s="27">
        <v>4.1666666666666664E-2</v>
      </c>
    </row>
    <row r="100" spans="1:11" ht="13.2">
      <c r="A100" s="43">
        <v>98</v>
      </c>
      <c r="B100" s="82"/>
      <c r="C100" s="117"/>
      <c r="E100" s="118"/>
      <c r="F100" s="119">
        <v>4.1666666666666664E-2</v>
      </c>
      <c r="G100" s="27" t="s">
        <v>55</v>
      </c>
      <c r="H100" s="27" t="s">
        <v>55</v>
      </c>
      <c r="I100" s="27" t="s">
        <v>55</v>
      </c>
      <c r="J100" s="27" t="s">
        <v>55</v>
      </c>
      <c r="K100" s="27">
        <v>4.1666666666666664E-2</v>
      </c>
    </row>
    <row r="101" spans="1:11" ht="13.2">
      <c r="A101" s="43">
        <v>99</v>
      </c>
      <c r="B101" s="82">
        <v>175</v>
      </c>
      <c r="C101" s="117" t="s">
        <v>231</v>
      </c>
      <c r="D101" t="s">
        <v>232</v>
      </c>
      <c r="E101" s="118" t="s">
        <v>70</v>
      </c>
      <c r="F101" s="119">
        <v>8.3333333333333329E-2</v>
      </c>
      <c r="G101" s="27" t="s">
        <v>48</v>
      </c>
      <c r="H101" s="27" t="s">
        <v>55</v>
      </c>
      <c r="I101" s="27" t="s">
        <v>55</v>
      </c>
      <c r="J101" s="27" t="s">
        <v>55</v>
      </c>
      <c r="K101" s="27">
        <v>8.3333333333333329E-2</v>
      </c>
    </row>
    <row r="102" spans="1:11" ht="13.2">
      <c r="A102" s="43">
        <v>100</v>
      </c>
      <c r="B102" s="82"/>
      <c r="C102" s="117"/>
      <c r="E102" s="118"/>
      <c r="F102" s="119">
        <v>8.3333333333333329E-2</v>
      </c>
      <c r="G102" s="27" t="s">
        <v>55</v>
      </c>
      <c r="H102" s="27" t="s">
        <v>55</v>
      </c>
      <c r="I102" s="27" t="s">
        <v>55</v>
      </c>
      <c r="J102" s="27" t="s">
        <v>55</v>
      </c>
      <c r="K102" s="27">
        <v>8.3333333333333329E-2</v>
      </c>
    </row>
    <row r="103" spans="1:11" ht="13.2">
      <c r="A103" s="43">
        <v>101</v>
      </c>
      <c r="B103" s="82"/>
      <c r="C103" s="117"/>
      <c r="E103" s="118"/>
      <c r="F103" s="127"/>
      <c r="G103" s="27"/>
      <c r="H103" s="27"/>
      <c r="I103" s="27"/>
      <c r="J103" s="27"/>
      <c r="K103" s="30"/>
    </row>
    <row r="104" spans="1:11" ht="13.2">
      <c r="A104" s="43">
        <v>102</v>
      </c>
      <c r="B104" s="82"/>
      <c r="C104" s="117"/>
      <c r="E104" s="118"/>
      <c r="F104" s="127"/>
      <c r="G104" s="27"/>
      <c r="H104" s="27"/>
      <c r="I104" s="27"/>
      <c r="J104" s="27"/>
      <c r="K104" s="30"/>
    </row>
    <row r="105" spans="1:11" ht="13.2">
      <c r="A105" s="43"/>
      <c r="B105" s="82"/>
      <c r="C105" s="117"/>
      <c r="E105" s="118"/>
      <c r="F105" s="82"/>
      <c r="G105" s="30"/>
      <c r="H105" s="30"/>
      <c r="I105" s="30"/>
      <c r="J105" s="30"/>
      <c r="K105" s="30"/>
    </row>
    <row r="106" spans="1:11" ht="13.2">
      <c r="A106" s="43"/>
      <c r="B106" s="82"/>
      <c r="C106" s="117"/>
      <c r="E106" s="118"/>
      <c r="F106" s="82"/>
      <c r="G106" s="30"/>
      <c r="H106" s="30"/>
      <c r="I106" s="30"/>
      <c r="J106" s="30"/>
      <c r="K106" s="30"/>
    </row>
    <row r="107" spans="1:11" ht="13.2">
      <c r="A107" s="43"/>
      <c r="B107" s="82"/>
      <c r="C107" s="117"/>
      <c r="E107" s="118"/>
      <c r="F107" s="82"/>
      <c r="G107" s="30"/>
      <c r="H107" s="30"/>
      <c r="I107" s="30"/>
      <c r="J107" s="30"/>
      <c r="K107" s="30"/>
    </row>
    <row r="108" spans="1:11" ht="13.2">
      <c r="A108" s="43"/>
      <c r="B108" s="82"/>
      <c r="C108" s="117"/>
      <c r="E108" s="118"/>
      <c r="F108" s="82"/>
      <c r="G108" s="30"/>
      <c r="H108" s="30"/>
      <c r="I108" s="30"/>
      <c r="J108" s="30"/>
      <c r="K108" s="30"/>
    </row>
    <row r="109" spans="1:11" ht="13.2">
      <c r="A109" s="43"/>
      <c r="B109" s="82"/>
      <c r="C109" s="117"/>
      <c r="E109" s="118"/>
      <c r="F109" s="82"/>
      <c r="G109" s="30"/>
      <c r="H109" s="30"/>
      <c r="I109" s="30"/>
      <c r="J109" s="30"/>
      <c r="K109" s="30"/>
    </row>
    <row r="110" spans="1:11" ht="13.2">
      <c r="A110" s="43"/>
      <c r="B110" s="82"/>
      <c r="C110" s="117"/>
      <c r="E110" s="118"/>
      <c r="F110" s="82"/>
      <c r="G110" s="30"/>
      <c r="H110" s="30"/>
      <c r="I110" s="30"/>
      <c r="J110" s="30"/>
      <c r="K110" s="30"/>
    </row>
    <row r="111" spans="1:11" ht="13.2">
      <c r="A111" s="43"/>
      <c r="B111" s="82"/>
      <c r="C111" s="117"/>
      <c r="E111" s="118"/>
      <c r="F111" s="82"/>
      <c r="G111" s="30"/>
      <c r="H111" s="30"/>
      <c r="I111" s="30"/>
      <c r="J111" s="30"/>
      <c r="K111" s="30"/>
    </row>
    <row r="112" spans="1:11" ht="13.2">
      <c r="A112" s="43"/>
      <c r="B112" s="82"/>
      <c r="C112" s="117"/>
      <c r="E112" s="118"/>
      <c r="F112" s="82"/>
      <c r="G112" s="30"/>
      <c r="H112" s="30"/>
      <c r="I112" s="30"/>
      <c r="J112" s="30"/>
      <c r="K112" s="30"/>
    </row>
    <row r="113" spans="1:11" ht="13.2">
      <c r="A113" s="43"/>
      <c r="B113" s="82"/>
      <c r="C113" s="117"/>
      <c r="E113" s="118"/>
      <c r="F113" s="82"/>
      <c r="G113" s="30"/>
      <c r="H113" s="30"/>
      <c r="I113" s="30"/>
      <c r="J113" s="30"/>
      <c r="K113" s="30"/>
    </row>
    <row r="114" spans="1:11" ht="13.2">
      <c r="A114" s="43"/>
      <c r="B114" s="82"/>
      <c r="C114" s="117"/>
      <c r="E114" s="118"/>
      <c r="F114" s="82"/>
      <c r="G114" s="30"/>
      <c r="H114" s="30"/>
      <c r="I114" s="30"/>
      <c r="J114" s="30"/>
      <c r="K114" s="30"/>
    </row>
    <row r="115" spans="1:11" ht="13.2">
      <c r="A115" s="43"/>
      <c r="B115" s="82"/>
      <c r="C115" s="117"/>
      <c r="E115" s="118"/>
      <c r="F115" s="82"/>
      <c r="G115" s="30"/>
      <c r="H115" s="30"/>
      <c r="I115" s="30"/>
      <c r="J115" s="30"/>
      <c r="K115" s="30"/>
    </row>
    <row r="116" spans="1:11" ht="13.2">
      <c r="A116" s="43"/>
      <c r="B116" s="82"/>
      <c r="C116" s="117"/>
      <c r="E116" s="118"/>
      <c r="F116" s="82"/>
      <c r="G116" s="30"/>
      <c r="H116" s="30"/>
      <c r="I116" s="30"/>
      <c r="J116" s="30"/>
      <c r="K116" s="30"/>
    </row>
    <row r="117" spans="1:11" ht="13.2">
      <c r="A117" s="43"/>
      <c r="B117" s="82"/>
      <c r="C117" s="117"/>
      <c r="E117" s="118"/>
      <c r="F117" s="82"/>
      <c r="G117" s="30"/>
      <c r="H117" s="30"/>
      <c r="I117" s="30"/>
      <c r="J117" s="30"/>
      <c r="K117" s="30"/>
    </row>
    <row r="118" spans="1:11" ht="13.2">
      <c r="A118" s="43"/>
      <c r="B118" s="82"/>
      <c r="C118" s="117"/>
      <c r="E118" s="118"/>
      <c r="F118" s="82"/>
      <c r="G118" s="30"/>
      <c r="H118" s="30"/>
      <c r="I118" s="30"/>
      <c r="J118" s="30"/>
      <c r="K118" s="30"/>
    </row>
    <row r="119" spans="1:11" ht="13.2">
      <c r="A119" s="43"/>
      <c r="B119" s="82"/>
      <c r="C119" s="117"/>
      <c r="E119" s="118"/>
      <c r="F119" s="82"/>
      <c r="G119" s="30"/>
      <c r="H119" s="30"/>
      <c r="I119" s="30"/>
      <c r="J119" s="30"/>
      <c r="K119" s="30"/>
    </row>
    <row r="120" spans="1:11" ht="13.2">
      <c r="A120" s="82"/>
      <c r="B120" s="82"/>
      <c r="C120" s="117"/>
      <c r="E120" s="118"/>
      <c r="F120" s="82"/>
      <c r="G120" s="30"/>
      <c r="H120" s="30"/>
      <c r="I120" s="30"/>
      <c r="J120" s="30"/>
      <c r="K120" s="30"/>
    </row>
    <row r="121" spans="1:11" ht="13.2">
      <c r="A121" s="82"/>
      <c r="B121" s="82"/>
      <c r="C121" s="117"/>
      <c r="E121" s="118"/>
      <c r="F121" s="82"/>
      <c r="G121" s="30"/>
      <c r="H121" s="30"/>
      <c r="I121" s="30"/>
      <c r="J121" s="30"/>
      <c r="K121" s="30"/>
    </row>
    <row r="122" spans="1:11" ht="13.2">
      <c r="A122" s="82"/>
      <c r="B122" s="82"/>
      <c r="C122" s="117"/>
      <c r="E122" s="118"/>
      <c r="F122" s="82"/>
      <c r="G122" s="30"/>
      <c r="H122" s="30"/>
      <c r="I122" s="30"/>
      <c r="J122" s="30"/>
      <c r="K122" s="30"/>
    </row>
    <row r="123" spans="1:11" ht="13.2">
      <c r="A123" s="82"/>
      <c r="B123" s="82"/>
      <c r="C123" s="117"/>
      <c r="E123" s="118"/>
      <c r="F123" s="82"/>
      <c r="G123" s="30"/>
      <c r="H123" s="30"/>
      <c r="I123" s="30"/>
      <c r="J123" s="30"/>
      <c r="K123" s="30"/>
    </row>
    <row r="124" spans="1:11" ht="13.2">
      <c r="A124" s="82"/>
      <c r="B124" s="82"/>
      <c r="C124" s="117"/>
      <c r="E124" s="118"/>
      <c r="F124" s="82"/>
      <c r="G124" s="30"/>
      <c r="H124" s="30"/>
      <c r="I124" s="30"/>
      <c r="J124" s="30"/>
      <c r="K124" s="30"/>
    </row>
    <row r="125" spans="1:11" ht="13.2">
      <c r="A125" s="82"/>
      <c r="B125" s="82"/>
      <c r="C125" s="117"/>
      <c r="E125" s="118"/>
      <c r="F125" s="82"/>
      <c r="G125" s="30"/>
      <c r="H125" s="30"/>
      <c r="I125" s="30"/>
      <c r="J125" s="30"/>
      <c r="K125" s="30"/>
    </row>
    <row r="126" spans="1:11" ht="13.2">
      <c r="A126" s="82"/>
      <c r="B126" s="82"/>
      <c r="C126" s="117"/>
      <c r="E126" s="118"/>
      <c r="F126" s="82"/>
      <c r="G126" s="30"/>
      <c r="H126" s="30"/>
      <c r="I126" s="30"/>
      <c r="J126" s="30"/>
      <c r="K126" s="30"/>
    </row>
    <row r="127" spans="1:11" ht="13.2">
      <c r="A127" s="82"/>
      <c r="B127" s="82"/>
      <c r="C127" s="117"/>
      <c r="E127" s="118"/>
      <c r="F127" s="82"/>
      <c r="G127" s="30"/>
      <c r="H127" s="30"/>
      <c r="I127" s="30"/>
      <c r="J127" s="30"/>
      <c r="K127" s="30"/>
    </row>
    <row r="128" spans="1:11" ht="13.2">
      <c r="A128" s="82"/>
      <c r="B128" s="82"/>
      <c r="C128" s="117"/>
      <c r="E128" s="118"/>
      <c r="F128" s="82"/>
      <c r="G128" s="30"/>
      <c r="H128" s="30"/>
      <c r="I128" s="30"/>
      <c r="J128" s="30"/>
      <c r="K128" s="30"/>
    </row>
    <row r="129" spans="1:11" ht="13.2">
      <c r="A129" s="82"/>
      <c r="B129" s="82"/>
      <c r="C129" s="117"/>
      <c r="E129" s="118"/>
      <c r="F129" s="82"/>
      <c r="G129" s="30"/>
      <c r="H129" s="30"/>
      <c r="I129" s="30"/>
      <c r="J129" s="30"/>
      <c r="K129" s="30"/>
    </row>
    <row r="130" spans="1:11" ht="13.2">
      <c r="A130" s="82"/>
      <c r="B130" s="82"/>
      <c r="C130" s="117"/>
      <c r="E130" s="118"/>
      <c r="F130" s="82"/>
      <c r="G130" s="30"/>
      <c r="H130" s="30"/>
      <c r="I130" s="30"/>
      <c r="J130" s="30"/>
      <c r="K130" s="30"/>
    </row>
    <row r="131" spans="1:11" ht="13.2">
      <c r="A131" s="82"/>
      <c r="B131" s="82"/>
      <c r="C131" s="117"/>
      <c r="E131" s="118"/>
      <c r="F131" s="82"/>
      <c r="G131" s="30"/>
      <c r="H131" s="30"/>
      <c r="I131" s="30"/>
      <c r="J131" s="30"/>
      <c r="K131" s="30"/>
    </row>
    <row r="132" spans="1:11" ht="13.2">
      <c r="A132" s="82"/>
      <c r="B132" s="82"/>
      <c r="C132" s="117"/>
      <c r="E132" s="118"/>
      <c r="F132" s="82"/>
      <c r="G132" s="30"/>
      <c r="H132" s="30"/>
      <c r="I132" s="30"/>
      <c r="J132" s="30"/>
      <c r="K132" s="30"/>
    </row>
    <row r="133" spans="1:11" ht="13.2">
      <c r="A133" s="82"/>
      <c r="B133" s="82"/>
      <c r="C133" s="117"/>
      <c r="E133" s="118"/>
      <c r="F133" s="82"/>
      <c r="G133" s="30"/>
      <c r="H133" s="30"/>
      <c r="I133" s="30"/>
      <c r="J133" s="30"/>
      <c r="K133" s="30"/>
    </row>
    <row r="134" spans="1:11" ht="13.2">
      <c r="A134" s="82"/>
      <c r="B134" s="82"/>
      <c r="C134" s="117"/>
      <c r="E134" s="118"/>
      <c r="F134" s="82"/>
      <c r="G134" s="30"/>
      <c r="H134" s="30"/>
      <c r="I134" s="30"/>
      <c r="J134" s="30"/>
      <c r="K134" s="30"/>
    </row>
    <row r="135" spans="1:11" ht="13.2">
      <c r="A135" s="82"/>
      <c r="B135" s="82"/>
      <c r="C135" s="117"/>
      <c r="E135" s="118"/>
      <c r="F135" s="82"/>
      <c r="G135" s="30"/>
      <c r="H135" s="30"/>
      <c r="I135" s="30"/>
      <c r="J135" s="30"/>
      <c r="K135" s="30"/>
    </row>
    <row r="136" spans="1:11" ht="13.2">
      <c r="A136" s="82"/>
      <c r="B136" s="82"/>
      <c r="C136" s="117"/>
      <c r="E136" s="118"/>
      <c r="F136" s="82"/>
      <c r="G136" s="30"/>
      <c r="H136" s="30"/>
      <c r="I136" s="30"/>
      <c r="J136" s="30"/>
      <c r="K136" s="30"/>
    </row>
    <row r="137" spans="1:11" ht="13.2">
      <c r="A137" s="82"/>
      <c r="B137" s="82"/>
      <c r="C137" s="117"/>
      <c r="E137" s="118"/>
      <c r="F137" s="82"/>
      <c r="G137" s="30"/>
      <c r="H137" s="30"/>
      <c r="I137" s="30"/>
      <c r="J137" s="30"/>
      <c r="K137" s="30"/>
    </row>
    <row r="138" spans="1:11" ht="13.2">
      <c r="A138" s="82"/>
      <c r="B138" s="82"/>
      <c r="C138" s="117"/>
      <c r="E138" s="118"/>
      <c r="F138" s="82"/>
      <c r="G138" s="30"/>
      <c r="H138" s="30"/>
      <c r="I138" s="30"/>
      <c r="J138" s="30"/>
      <c r="K138" s="30"/>
    </row>
    <row r="139" spans="1:11" ht="13.2">
      <c r="A139" s="82"/>
      <c r="B139" s="82"/>
      <c r="C139" s="117"/>
      <c r="E139" s="118"/>
      <c r="F139" s="82"/>
      <c r="G139" s="30"/>
      <c r="H139" s="30"/>
      <c r="I139" s="30"/>
      <c r="J139" s="30"/>
      <c r="K139" s="30"/>
    </row>
    <row r="140" spans="1:11" ht="13.2">
      <c r="A140" s="82"/>
      <c r="B140" s="82"/>
      <c r="C140" s="117"/>
      <c r="E140" s="118"/>
      <c r="F140" s="82"/>
      <c r="G140" s="30"/>
      <c r="H140" s="30"/>
      <c r="I140" s="30"/>
      <c r="J140" s="30"/>
      <c r="K140" s="30"/>
    </row>
    <row r="141" spans="1:11" ht="13.2">
      <c r="A141" s="82"/>
      <c r="B141" s="82"/>
      <c r="C141" s="117"/>
      <c r="E141" s="118"/>
      <c r="F141" s="82"/>
      <c r="G141" s="30"/>
      <c r="H141" s="30"/>
      <c r="I141" s="30"/>
      <c r="J141" s="30"/>
      <c r="K141" s="30"/>
    </row>
    <row r="142" spans="1:11" ht="13.2">
      <c r="A142" s="82"/>
      <c r="B142" s="82"/>
      <c r="C142" s="117"/>
      <c r="E142" s="118"/>
      <c r="F142" s="82"/>
      <c r="G142" s="30"/>
      <c r="H142" s="30"/>
      <c r="I142" s="30"/>
      <c r="J142" s="30"/>
      <c r="K142" s="30"/>
    </row>
    <row r="143" spans="1:11" ht="13.2">
      <c r="A143" s="82"/>
      <c r="B143" s="82"/>
      <c r="C143" s="117"/>
      <c r="E143" s="118"/>
      <c r="F143" s="82"/>
      <c r="G143" s="30"/>
      <c r="H143" s="30"/>
      <c r="I143" s="30"/>
      <c r="J143" s="30"/>
      <c r="K143" s="30"/>
    </row>
    <row r="144" spans="1:11" ht="13.2">
      <c r="A144" s="82"/>
      <c r="B144" s="82"/>
      <c r="C144" s="117"/>
      <c r="E144" s="118"/>
      <c r="F144" s="82"/>
      <c r="G144" s="30"/>
      <c r="H144" s="30"/>
      <c r="I144" s="30"/>
      <c r="J144" s="30"/>
      <c r="K144" s="30"/>
    </row>
    <row r="145" spans="1:11" ht="13.2">
      <c r="A145" s="82"/>
      <c r="B145" s="82"/>
      <c r="C145" s="117"/>
      <c r="E145" s="118"/>
      <c r="F145" s="82"/>
      <c r="G145" s="30"/>
      <c r="H145" s="30"/>
      <c r="I145" s="30"/>
      <c r="J145" s="30"/>
      <c r="K145" s="30"/>
    </row>
    <row r="146" spans="1:11" ht="13.2">
      <c r="A146" s="82"/>
      <c r="B146" s="82"/>
      <c r="C146" s="117"/>
      <c r="E146" s="118"/>
      <c r="F146" s="82"/>
      <c r="G146" s="30"/>
      <c r="H146" s="30"/>
      <c r="I146" s="30"/>
      <c r="J146" s="30"/>
      <c r="K146" s="30"/>
    </row>
    <row r="147" spans="1:11" ht="13.2">
      <c r="A147" s="82"/>
      <c r="B147" s="82"/>
      <c r="C147" s="117"/>
      <c r="E147" s="118"/>
      <c r="F147" s="82"/>
      <c r="G147" s="30"/>
      <c r="H147" s="30"/>
      <c r="I147" s="30"/>
      <c r="J147" s="30"/>
      <c r="K147" s="30"/>
    </row>
    <row r="148" spans="1:11" ht="13.2">
      <c r="A148" s="82"/>
      <c r="B148" s="82"/>
      <c r="C148" s="117"/>
      <c r="E148" s="118"/>
      <c r="F148" s="82"/>
      <c r="G148" s="30"/>
      <c r="H148" s="30"/>
      <c r="I148" s="30"/>
      <c r="J148" s="30"/>
      <c r="K148" s="30"/>
    </row>
    <row r="149" spans="1:11" ht="13.2">
      <c r="A149" s="82"/>
      <c r="B149" s="82"/>
      <c r="C149" s="117"/>
      <c r="E149" s="118"/>
      <c r="F149" s="82"/>
      <c r="G149" s="30"/>
      <c r="H149" s="30"/>
      <c r="I149" s="30"/>
      <c r="J149" s="30"/>
      <c r="K149" s="30"/>
    </row>
    <row r="150" spans="1:11" ht="13.2">
      <c r="A150" s="82"/>
      <c r="B150" s="82"/>
      <c r="C150" s="117"/>
      <c r="E150" s="118"/>
      <c r="F150" s="82"/>
      <c r="G150" s="30"/>
      <c r="H150" s="30"/>
      <c r="I150" s="30"/>
      <c r="J150" s="30"/>
      <c r="K150" s="30"/>
    </row>
    <row r="151" spans="1:11" ht="13.2">
      <c r="A151" s="82"/>
      <c r="B151" s="82"/>
      <c r="C151" s="117"/>
      <c r="E151" s="118"/>
      <c r="F151" s="82"/>
      <c r="G151" s="30"/>
      <c r="H151" s="30"/>
      <c r="I151" s="30"/>
      <c r="J151" s="30"/>
      <c r="K151" s="30"/>
    </row>
    <row r="152" spans="1:11" ht="13.2">
      <c r="A152" s="82"/>
      <c r="B152" s="82"/>
      <c r="C152" s="117"/>
      <c r="E152" s="118"/>
      <c r="F152" s="82"/>
      <c r="G152" s="30"/>
      <c r="H152" s="30"/>
      <c r="I152" s="30"/>
      <c r="J152" s="30"/>
      <c r="K152" s="30"/>
    </row>
    <row r="153" spans="1:11" ht="13.2">
      <c r="A153" s="82"/>
      <c r="B153" s="82"/>
      <c r="C153" s="117"/>
      <c r="E153" s="118"/>
      <c r="F153" s="82"/>
      <c r="G153" s="30"/>
      <c r="H153" s="30"/>
      <c r="I153" s="30"/>
      <c r="J153" s="30"/>
      <c r="K153" s="30"/>
    </row>
    <row r="154" spans="1:11" ht="13.2">
      <c r="A154" s="82"/>
      <c r="B154" s="82"/>
      <c r="C154" s="117"/>
      <c r="E154" s="118"/>
      <c r="F154" s="82"/>
      <c r="G154" s="30"/>
      <c r="H154" s="30"/>
      <c r="I154" s="30"/>
      <c r="J154" s="30"/>
      <c r="K154" s="30"/>
    </row>
    <row r="155" spans="1:11" ht="13.2">
      <c r="A155" s="82"/>
      <c r="B155" s="82"/>
      <c r="C155" s="117"/>
      <c r="E155" s="118"/>
      <c r="F155" s="82"/>
      <c r="G155" s="30"/>
      <c r="H155" s="30"/>
      <c r="I155" s="30"/>
      <c r="J155" s="30"/>
      <c r="K155" s="30"/>
    </row>
    <row r="156" spans="1:11" ht="13.2">
      <c r="A156" s="82"/>
      <c r="B156" s="82"/>
      <c r="C156" s="117"/>
      <c r="E156" s="118"/>
      <c r="F156" s="82"/>
      <c r="G156" s="30"/>
      <c r="H156" s="30"/>
      <c r="I156" s="30"/>
      <c r="J156" s="30"/>
      <c r="K156" s="30"/>
    </row>
    <row r="157" spans="1:11" ht="13.2">
      <c r="A157" s="82"/>
      <c r="B157" s="82"/>
      <c r="C157" s="117"/>
      <c r="E157" s="118"/>
      <c r="F157" s="82"/>
      <c r="G157" s="30"/>
      <c r="H157" s="30"/>
      <c r="I157" s="30"/>
      <c r="J157" s="30"/>
      <c r="K157" s="30"/>
    </row>
    <row r="158" spans="1:11" ht="13.2">
      <c r="A158" s="82"/>
      <c r="B158" s="82"/>
      <c r="C158" s="117"/>
      <c r="E158" s="118"/>
      <c r="F158" s="82"/>
      <c r="G158" s="30"/>
      <c r="H158" s="30"/>
      <c r="I158" s="30"/>
      <c r="J158" s="30"/>
      <c r="K158" s="30"/>
    </row>
    <row r="159" spans="1:11" ht="13.2">
      <c r="A159" s="82"/>
      <c r="B159" s="82"/>
      <c r="C159" s="117"/>
      <c r="E159" s="118"/>
      <c r="F159" s="82"/>
      <c r="G159" s="30"/>
      <c r="H159" s="30"/>
      <c r="I159" s="30"/>
      <c r="J159" s="30"/>
      <c r="K159" s="30"/>
    </row>
    <row r="160" spans="1:11" ht="13.2">
      <c r="A160" s="82"/>
      <c r="B160" s="82"/>
      <c r="C160" s="117"/>
      <c r="E160" s="118"/>
      <c r="F160" s="82"/>
      <c r="G160" s="30"/>
      <c r="H160" s="30"/>
      <c r="I160" s="30"/>
      <c r="J160" s="30"/>
      <c r="K160" s="30"/>
    </row>
    <row r="161" spans="1:11" ht="13.2">
      <c r="A161" s="82"/>
      <c r="B161" s="82"/>
      <c r="C161" s="117"/>
      <c r="E161" s="118"/>
      <c r="F161" s="82"/>
      <c r="G161" s="30"/>
      <c r="H161" s="30"/>
      <c r="I161" s="30"/>
      <c r="J161" s="30"/>
      <c r="K161" s="30"/>
    </row>
    <row r="162" spans="1:11" ht="13.2">
      <c r="A162" s="82"/>
      <c r="B162" s="82"/>
      <c r="C162" s="117"/>
      <c r="E162" s="118"/>
      <c r="F162" s="82"/>
      <c r="G162" s="30"/>
      <c r="H162" s="30"/>
      <c r="I162" s="30"/>
      <c r="J162" s="30"/>
      <c r="K162" s="30"/>
    </row>
    <row r="163" spans="1:11" ht="13.2">
      <c r="A163" s="82"/>
      <c r="B163" s="82"/>
      <c r="C163" s="117"/>
      <c r="E163" s="118"/>
      <c r="F163" s="82"/>
      <c r="G163" s="30"/>
      <c r="H163" s="30"/>
      <c r="I163" s="30"/>
      <c r="J163" s="30"/>
      <c r="K163" s="30"/>
    </row>
    <row r="164" spans="1:11" ht="13.2">
      <c r="A164" s="82"/>
      <c r="B164" s="82"/>
      <c r="C164" s="117"/>
      <c r="E164" s="118"/>
      <c r="F164" s="82"/>
      <c r="G164" s="30"/>
      <c r="H164" s="30"/>
      <c r="I164" s="30"/>
      <c r="J164" s="30"/>
      <c r="K164" s="30"/>
    </row>
    <row r="165" spans="1:11" ht="13.2">
      <c r="A165" s="82"/>
      <c r="B165" s="82"/>
      <c r="C165" s="117"/>
      <c r="E165" s="118"/>
      <c r="F165" s="82"/>
      <c r="G165" s="30"/>
      <c r="H165" s="30"/>
      <c r="I165" s="30"/>
      <c r="J165" s="30"/>
      <c r="K165" s="30"/>
    </row>
    <row r="166" spans="1:11" ht="13.2">
      <c r="A166" s="82"/>
      <c r="B166" s="82"/>
      <c r="C166" s="117"/>
      <c r="E166" s="118"/>
      <c r="F166" s="82"/>
      <c r="G166" s="30"/>
      <c r="H166" s="30"/>
      <c r="I166" s="30"/>
      <c r="J166" s="30"/>
      <c r="K166" s="30"/>
    </row>
    <row r="167" spans="1:11" ht="13.2">
      <c r="A167" s="82"/>
      <c r="B167" s="82"/>
      <c r="C167" s="117"/>
      <c r="E167" s="118"/>
      <c r="F167" s="82"/>
      <c r="G167" s="30"/>
      <c r="H167" s="30"/>
      <c r="I167" s="30"/>
      <c r="J167" s="30"/>
      <c r="K167" s="30"/>
    </row>
    <row r="168" spans="1:11" ht="13.2">
      <c r="A168" s="82"/>
      <c r="B168" s="82"/>
      <c r="C168" s="117"/>
      <c r="E168" s="118"/>
      <c r="F168" s="82"/>
      <c r="G168" s="30"/>
      <c r="H168" s="30"/>
      <c r="I168" s="30"/>
      <c r="J168" s="30"/>
      <c r="K168" s="30"/>
    </row>
    <row r="169" spans="1:11" ht="13.2">
      <c r="A169" s="82"/>
      <c r="B169" s="82"/>
      <c r="C169" s="117"/>
      <c r="E169" s="118"/>
      <c r="F169" s="82"/>
      <c r="G169" s="30"/>
      <c r="H169" s="30"/>
      <c r="I169" s="30"/>
      <c r="J169" s="30"/>
      <c r="K169" s="30"/>
    </row>
    <row r="170" spans="1:11" ht="13.2">
      <c r="A170" s="82"/>
      <c r="B170" s="82"/>
      <c r="C170" s="117"/>
      <c r="E170" s="118"/>
      <c r="F170" s="82"/>
      <c r="G170" s="30"/>
      <c r="H170" s="30"/>
      <c r="I170" s="30"/>
      <c r="J170" s="30"/>
      <c r="K170" s="30"/>
    </row>
    <row r="171" spans="1:11" ht="13.2">
      <c r="A171" s="82"/>
      <c r="B171" s="82"/>
      <c r="C171" s="117"/>
      <c r="E171" s="118"/>
      <c r="F171" s="82"/>
      <c r="G171" s="30"/>
      <c r="H171" s="30"/>
      <c r="I171" s="30"/>
      <c r="J171" s="30"/>
      <c r="K171" s="30"/>
    </row>
    <row r="172" spans="1:11" ht="13.2">
      <c r="A172" s="82"/>
      <c r="B172" s="82"/>
      <c r="C172" s="117"/>
      <c r="E172" s="118"/>
      <c r="F172" s="82"/>
      <c r="G172" s="30"/>
      <c r="H172" s="30"/>
      <c r="I172" s="30"/>
      <c r="J172" s="30"/>
      <c r="K172" s="30"/>
    </row>
    <row r="173" spans="1:11" ht="13.2">
      <c r="A173" s="82"/>
      <c r="B173" s="82"/>
      <c r="C173" s="117"/>
      <c r="E173" s="118"/>
      <c r="F173" s="82"/>
      <c r="G173" s="30"/>
      <c r="H173" s="30"/>
      <c r="I173" s="30"/>
      <c r="J173" s="30"/>
      <c r="K173" s="30"/>
    </row>
    <row r="174" spans="1:11" ht="13.2">
      <c r="A174" s="82"/>
      <c r="B174" s="82"/>
      <c r="C174" s="117"/>
      <c r="E174" s="118"/>
      <c r="F174" s="82"/>
      <c r="G174" s="30"/>
      <c r="H174" s="30"/>
      <c r="I174" s="30"/>
      <c r="J174" s="30"/>
      <c r="K174" s="30"/>
    </row>
    <row r="175" spans="1:11" ht="13.2">
      <c r="A175" s="82"/>
      <c r="B175" s="82"/>
      <c r="C175" s="117"/>
      <c r="E175" s="118"/>
      <c r="F175" s="82"/>
      <c r="G175" s="30"/>
      <c r="H175" s="30"/>
      <c r="I175" s="30"/>
      <c r="J175" s="30"/>
      <c r="K175" s="30"/>
    </row>
    <row r="176" spans="1:11" ht="13.2">
      <c r="A176" s="82"/>
      <c r="B176" s="82"/>
      <c r="C176" s="117"/>
      <c r="E176" s="118"/>
      <c r="F176" s="82"/>
      <c r="G176" s="30"/>
      <c r="H176" s="30"/>
      <c r="I176" s="30"/>
      <c r="J176" s="30"/>
      <c r="K176" s="30"/>
    </row>
    <row r="177" spans="1:11" ht="13.2">
      <c r="A177" s="82"/>
      <c r="B177" s="82"/>
      <c r="C177" s="117"/>
      <c r="E177" s="118"/>
      <c r="F177" s="82"/>
      <c r="G177" s="30"/>
      <c r="H177" s="30"/>
      <c r="I177" s="30"/>
      <c r="J177" s="30"/>
      <c r="K177" s="30"/>
    </row>
    <row r="178" spans="1:11" ht="13.2">
      <c r="A178" s="82"/>
      <c r="B178" s="82"/>
      <c r="C178" s="117"/>
      <c r="E178" s="118"/>
      <c r="F178" s="82"/>
      <c r="G178" s="30"/>
      <c r="H178" s="30"/>
      <c r="I178" s="30"/>
      <c r="J178" s="30"/>
      <c r="K178" s="30"/>
    </row>
    <row r="179" spans="1:11" ht="13.2">
      <c r="A179" s="82"/>
      <c r="B179" s="82"/>
      <c r="C179" s="117"/>
      <c r="E179" s="118"/>
      <c r="F179" s="82"/>
      <c r="G179" s="30"/>
      <c r="H179" s="30"/>
      <c r="I179" s="30"/>
      <c r="J179" s="30"/>
      <c r="K179" s="30"/>
    </row>
    <row r="180" spans="1:11" ht="13.2">
      <c r="A180" s="82"/>
      <c r="B180" s="82"/>
      <c r="C180" s="117"/>
      <c r="E180" s="118"/>
      <c r="F180" s="82"/>
      <c r="G180" s="30"/>
      <c r="H180" s="30"/>
      <c r="I180" s="30"/>
      <c r="J180" s="30"/>
      <c r="K180" s="30"/>
    </row>
    <row r="181" spans="1:11" ht="13.2">
      <c r="A181" s="82"/>
      <c r="B181" s="82"/>
      <c r="C181" s="117"/>
      <c r="E181" s="118"/>
      <c r="F181" s="82"/>
      <c r="G181" s="30"/>
      <c r="H181" s="30"/>
      <c r="I181" s="30"/>
      <c r="J181" s="30"/>
      <c r="K181" s="30"/>
    </row>
    <row r="182" spans="1:11" ht="13.2">
      <c r="A182" s="82"/>
      <c r="B182" s="82"/>
      <c r="C182" s="117"/>
      <c r="E182" s="118"/>
      <c r="F182" s="82"/>
      <c r="G182" s="30"/>
      <c r="H182" s="30"/>
      <c r="I182" s="30"/>
      <c r="J182" s="30"/>
      <c r="K182" s="30"/>
    </row>
    <row r="183" spans="1:11" ht="13.2">
      <c r="A183" s="82"/>
      <c r="B183" s="82"/>
      <c r="C183" s="117"/>
      <c r="E183" s="118"/>
      <c r="F183" s="82"/>
      <c r="G183" s="30"/>
      <c r="H183" s="30"/>
      <c r="I183" s="30"/>
      <c r="J183" s="30"/>
      <c r="K183" s="30"/>
    </row>
    <row r="184" spans="1:11" ht="13.2">
      <c r="A184" s="82"/>
      <c r="B184" s="82"/>
      <c r="C184" s="117"/>
      <c r="E184" s="118"/>
      <c r="F184" s="82"/>
      <c r="G184" s="30"/>
      <c r="H184" s="30"/>
      <c r="I184" s="30"/>
      <c r="J184" s="30"/>
      <c r="K184" s="30"/>
    </row>
    <row r="185" spans="1:11" ht="13.2">
      <c r="A185" s="82"/>
      <c r="B185" s="82"/>
      <c r="C185" s="117"/>
      <c r="E185" s="118"/>
      <c r="F185" s="82"/>
      <c r="G185" s="30"/>
      <c r="H185" s="30"/>
      <c r="I185" s="30"/>
      <c r="J185" s="30"/>
      <c r="K185" s="30"/>
    </row>
    <row r="186" spans="1:11" ht="13.2">
      <c r="A186" s="82"/>
      <c r="B186" s="82"/>
      <c r="C186" s="117"/>
      <c r="E186" s="118"/>
      <c r="F186" s="82"/>
      <c r="G186" s="30"/>
      <c r="H186" s="30"/>
      <c r="I186" s="30"/>
      <c r="J186" s="30"/>
      <c r="K186" s="30"/>
    </row>
    <row r="187" spans="1:11" ht="13.2">
      <c r="A187" s="82"/>
      <c r="B187" s="82"/>
      <c r="C187" s="117"/>
      <c r="E187" s="118"/>
      <c r="F187" s="82"/>
      <c r="G187" s="30"/>
      <c r="H187" s="30"/>
      <c r="I187" s="30"/>
      <c r="J187" s="30"/>
      <c r="K187" s="30"/>
    </row>
    <row r="188" spans="1:11" ht="13.2">
      <c r="A188" s="82"/>
      <c r="B188" s="82"/>
      <c r="C188" s="117"/>
      <c r="E188" s="118"/>
      <c r="F188" s="82"/>
      <c r="G188" s="30"/>
      <c r="H188" s="30"/>
      <c r="I188" s="30"/>
      <c r="J188" s="30"/>
      <c r="K188" s="30"/>
    </row>
    <row r="189" spans="1:11" ht="13.2">
      <c r="A189" s="82"/>
      <c r="B189" s="82"/>
      <c r="C189" s="117"/>
      <c r="E189" s="118"/>
      <c r="F189" s="82"/>
      <c r="G189" s="30"/>
      <c r="H189" s="30"/>
      <c r="I189" s="30"/>
      <c r="J189" s="30"/>
      <c r="K189" s="30"/>
    </row>
    <row r="190" spans="1:11" ht="13.2">
      <c r="A190" s="82"/>
      <c r="B190" s="82"/>
      <c r="C190" s="117"/>
      <c r="E190" s="118"/>
      <c r="F190" s="82"/>
      <c r="G190" s="30"/>
      <c r="H190" s="30"/>
      <c r="I190" s="30"/>
      <c r="J190" s="30"/>
      <c r="K190" s="30"/>
    </row>
    <row r="191" spans="1:11" ht="13.2">
      <c r="A191" s="82"/>
      <c r="B191" s="82"/>
      <c r="C191" s="117"/>
      <c r="E191" s="118"/>
      <c r="F191" s="82"/>
      <c r="G191" s="30"/>
      <c r="H191" s="30"/>
      <c r="I191" s="30"/>
      <c r="J191" s="30"/>
      <c r="K191" s="30"/>
    </row>
    <row r="192" spans="1:11" ht="13.2">
      <c r="A192" s="82"/>
      <c r="B192" s="82"/>
      <c r="C192" s="117"/>
      <c r="E192" s="118"/>
      <c r="F192" s="82"/>
      <c r="G192" s="30"/>
      <c r="H192" s="30"/>
      <c r="I192" s="30"/>
      <c r="J192" s="30"/>
      <c r="K192" s="30"/>
    </row>
    <row r="193" spans="1:11" ht="13.2">
      <c r="A193" s="82"/>
      <c r="B193" s="82"/>
      <c r="C193" s="117"/>
      <c r="E193" s="118"/>
      <c r="F193" s="82"/>
      <c r="G193" s="30"/>
      <c r="H193" s="30"/>
      <c r="I193" s="30"/>
      <c r="J193" s="30"/>
      <c r="K193" s="30"/>
    </row>
    <row r="194" spans="1:11" ht="13.2">
      <c r="A194" s="82"/>
      <c r="B194" s="82"/>
      <c r="C194" s="117"/>
      <c r="E194" s="118"/>
      <c r="F194" s="82"/>
      <c r="G194" s="30"/>
      <c r="H194" s="30"/>
      <c r="I194" s="30"/>
      <c r="J194" s="30"/>
      <c r="K194" s="30"/>
    </row>
    <row r="195" spans="1:11" ht="13.2">
      <c r="A195" s="82"/>
      <c r="B195" s="82"/>
      <c r="C195" s="117"/>
      <c r="E195" s="118"/>
      <c r="F195" s="82"/>
      <c r="G195" s="30"/>
      <c r="H195" s="30"/>
      <c r="I195" s="30"/>
      <c r="J195" s="30"/>
      <c r="K195" s="30"/>
    </row>
    <row r="196" spans="1:11" ht="13.2">
      <c r="A196" s="82"/>
      <c r="B196" s="82"/>
      <c r="C196" s="117"/>
      <c r="E196" s="118"/>
      <c r="F196" s="82"/>
      <c r="G196" s="30"/>
      <c r="H196" s="30"/>
      <c r="I196" s="30"/>
      <c r="J196" s="30"/>
      <c r="K196" s="30"/>
    </row>
    <row r="197" spans="1:11" ht="13.2">
      <c r="A197" s="82"/>
      <c r="B197" s="82"/>
      <c r="C197" s="117"/>
      <c r="E197" s="118"/>
      <c r="F197" s="82"/>
      <c r="G197" s="30"/>
      <c r="H197" s="30"/>
      <c r="I197" s="30"/>
      <c r="J197" s="30"/>
      <c r="K197" s="30"/>
    </row>
    <row r="198" spans="1:11" ht="13.2">
      <c r="A198" s="82"/>
      <c r="B198" s="82"/>
      <c r="C198" s="117"/>
      <c r="E198" s="118"/>
      <c r="F198" s="82"/>
      <c r="G198" s="30"/>
      <c r="H198" s="30"/>
      <c r="I198" s="30"/>
      <c r="J198" s="30"/>
      <c r="K198" s="30"/>
    </row>
    <row r="199" spans="1:11" ht="13.2">
      <c r="A199" s="82"/>
      <c r="B199" s="82"/>
      <c r="C199" s="117"/>
      <c r="E199" s="118"/>
      <c r="F199" s="82"/>
      <c r="G199" s="30"/>
      <c r="H199" s="30"/>
      <c r="I199" s="30"/>
      <c r="J199" s="30"/>
      <c r="K199" s="30"/>
    </row>
    <row r="200" spans="1:11" ht="13.2">
      <c r="A200" s="82"/>
      <c r="B200" s="82"/>
      <c r="C200" s="117"/>
      <c r="E200" s="118"/>
      <c r="F200" s="82"/>
      <c r="G200" s="30"/>
      <c r="H200" s="30"/>
      <c r="I200" s="30"/>
      <c r="J200" s="30"/>
      <c r="K200" s="30"/>
    </row>
    <row r="201" spans="1:11" ht="13.2">
      <c r="A201" s="82"/>
      <c r="B201" s="82"/>
      <c r="C201" s="117"/>
      <c r="E201" s="118"/>
      <c r="F201" s="82"/>
      <c r="G201" s="30"/>
      <c r="H201" s="30"/>
      <c r="I201" s="30"/>
      <c r="J201" s="30"/>
      <c r="K201" s="30"/>
    </row>
    <row r="202" spans="1:11" ht="13.2">
      <c r="A202" s="82"/>
      <c r="B202" s="82"/>
      <c r="C202" s="117"/>
      <c r="E202" s="118"/>
      <c r="F202" s="82"/>
      <c r="G202" s="30"/>
      <c r="H202" s="30"/>
      <c r="I202" s="30"/>
      <c r="J202" s="30"/>
      <c r="K202" s="30"/>
    </row>
    <row r="203" spans="1:11" ht="13.2">
      <c r="A203" s="82"/>
      <c r="B203" s="82"/>
      <c r="C203" s="117"/>
      <c r="E203" s="118"/>
      <c r="F203" s="82"/>
      <c r="G203" s="30"/>
      <c r="H203" s="30"/>
      <c r="I203" s="30"/>
      <c r="J203" s="30"/>
      <c r="K203" s="30"/>
    </row>
    <row r="204" spans="1:11" ht="13.2">
      <c r="A204" s="82"/>
      <c r="B204" s="82"/>
      <c r="C204" s="117"/>
      <c r="E204" s="118"/>
      <c r="F204" s="82"/>
      <c r="G204" s="30"/>
      <c r="H204" s="30"/>
      <c r="I204" s="30"/>
      <c r="J204" s="30"/>
      <c r="K204" s="30"/>
    </row>
    <row r="205" spans="1:11" ht="13.2">
      <c r="A205" s="82"/>
      <c r="B205" s="82"/>
      <c r="C205" s="117"/>
      <c r="E205" s="118"/>
      <c r="F205" s="82"/>
      <c r="G205" s="30"/>
      <c r="H205" s="30"/>
      <c r="I205" s="30"/>
      <c r="J205" s="30"/>
      <c r="K205" s="30"/>
    </row>
    <row r="206" spans="1:11" ht="13.2">
      <c r="A206" s="82"/>
      <c r="B206" s="82"/>
      <c r="C206" s="117"/>
      <c r="E206" s="118"/>
      <c r="F206" s="82"/>
      <c r="G206" s="30"/>
      <c r="H206" s="30"/>
      <c r="I206" s="30"/>
      <c r="J206" s="30"/>
      <c r="K206" s="30"/>
    </row>
    <row r="207" spans="1:11" ht="13.2">
      <c r="A207" s="82"/>
      <c r="B207" s="82"/>
      <c r="C207" s="117"/>
      <c r="E207" s="118"/>
      <c r="F207" s="82"/>
      <c r="G207" s="30"/>
      <c r="H207" s="30"/>
      <c r="I207" s="30"/>
      <c r="J207" s="30"/>
      <c r="K207" s="30"/>
    </row>
    <row r="208" spans="1:11" ht="13.2">
      <c r="A208" s="82"/>
      <c r="B208" s="82"/>
      <c r="C208" s="117"/>
      <c r="E208" s="118"/>
      <c r="F208" s="82"/>
      <c r="G208" s="30"/>
      <c r="H208" s="30"/>
      <c r="I208" s="30"/>
      <c r="J208" s="30"/>
      <c r="K208" s="30"/>
    </row>
    <row r="209" spans="1:11" ht="13.2">
      <c r="A209" s="82"/>
      <c r="B209" s="82"/>
      <c r="C209" s="117"/>
      <c r="E209" s="118"/>
      <c r="F209" s="82"/>
      <c r="G209" s="30"/>
      <c r="H209" s="30"/>
      <c r="I209" s="30"/>
      <c r="J209" s="30"/>
      <c r="K209" s="30"/>
    </row>
    <row r="210" spans="1:11" ht="13.2">
      <c r="A210" s="82"/>
      <c r="B210" s="82"/>
      <c r="C210" s="117"/>
      <c r="E210" s="118"/>
      <c r="F210" s="82"/>
      <c r="G210" s="30"/>
      <c r="H210" s="30"/>
      <c r="I210" s="30"/>
      <c r="J210" s="30"/>
      <c r="K210" s="30"/>
    </row>
    <row r="211" spans="1:11" ht="13.2">
      <c r="A211" s="82"/>
      <c r="B211" s="82"/>
      <c r="C211" s="117"/>
      <c r="E211" s="118"/>
      <c r="F211" s="82"/>
      <c r="G211" s="30"/>
      <c r="H211" s="30"/>
      <c r="I211" s="30"/>
      <c r="J211" s="30"/>
      <c r="K211" s="30"/>
    </row>
    <row r="212" spans="1:11" ht="13.2">
      <c r="A212" s="82"/>
      <c r="B212" s="82"/>
      <c r="C212" s="117"/>
      <c r="E212" s="118"/>
      <c r="F212" s="82"/>
      <c r="G212" s="30"/>
      <c r="H212" s="30"/>
      <c r="I212" s="30"/>
      <c r="J212" s="30"/>
      <c r="K212" s="30"/>
    </row>
    <row r="213" spans="1:11" ht="13.2">
      <c r="A213" s="82"/>
      <c r="B213" s="82"/>
      <c r="C213" s="117"/>
      <c r="E213" s="118"/>
      <c r="F213" s="82"/>
      <c r="G213" s="30"/>
      <c r="H213" s="30"/>
      <c r="I213" s="30"/>
      <c r="J213" s="30"/>
      <c r="K213" s="30"/>
    </row>
    <row r="214" spans="1:11" ht="13.2">
      <c r="A214" s="82"/>
      <c r="B214" s="82"/>
      <c r="C214" s="117"/>
      <c r="E214" s="118"/>
      <c r="F214" s="82"/>
      <c r="G214" s="30"/>
      <c r="H214" s="30"/>
      <c r="I214" s="30"/>
      <c r="J214" s="30"/>
      <c r="K214" s="30"/>
    </row>
    <row r="215" spans="1:11" ht="13.2">
      <c r="A215" s="82"/>
      <c r="B215" s="82"/>
      <c r="C215" s="117"/>
      <c r="E215" s="118"/>
      <c r="F215" s="82"/>
      <c r="G215" s="30"/>
      <c r="H215" s="30"/>
      <c r="I215" s="30"/>
      <c r="J215" s="30"/>
      <c r="K215" s="30"/>
    </row>
    <row r="216" spans="1:11" ht="13.2">
      <c r="A216" s="82"/>
      <c r="B216" s="82"/>
      <c r="C216" s="117"/>
      <c r="E216" s="118"/>
      <c r="F216" s="82"/>
      <c r="G216" s="30"/>
      <c r="H216" s="30"/>
      <c r="I216" s="30"/>
      <c r="J216" s="30"/>
      <c r="K216" s="30"/>
    </row>
    <row r="217" spans="1:11" ht="13.2">
      <c r="A217" s="82"/>
      <c r="B217" s="82"/>
      <c r="C217" s="117"/>
      <c r="E217" s="118"/>
      <c r="F217" s="82"/>
      <c r="G217" s="30"/>
      <c r="H217" s="30"/>
      <c r="I217" s="30"/>
      <c r="J217" s="30"/>
      <c r="K217" s="30"/>
    </row>
    <row r="218" spans="1:11" ht="13.2">
      <c r="A218" s="82"/>
      <c r="B218" s="82"/>
      <c r="C218" s="117"/>
      <c r="E218" s="118"/>
      <c r="F218" s="82"/>
      <c r="G218" s="30"/>
      <c r="H218" s="30"/>
      <c r="I218" s="30"/>
      <c r="J218" s="30"/>
      <c r="K218" s="30"/>
    </row>
    <row r="219" spans="1:11" ht="13.2">
      <c r="A219" s="82"/>
      <c r="B219" s="82"/>
      <c r="C219" s="117"/>
      <c r="E219" s="118"/>
      <c r="F219" s="82"/>
      <c r="G219" s="30"/>
      <c r="H219" s="30"/>
      <c r="I219" s="30"/>
      <c r="J219" s="30"/>
      <c r="K219" s="30"/>
    </row>
    <row r="220" spans="1:11" ht="13.2">
      <c r="A220" s="82"/>
      <c r="B220" s="82"/>
      <c r="C220" s="117"/>
      <c r="E220" s="118"/>
      <c r="F220" s="82"/>
      <c r="G220" s="30"/>
      <c r="H220" s="30"/>
      <c r="I220" s="30"/>
      <c r="J220" s="30"/>
      <c r="K220" s="30"/>
    </row>
    <row r="221" spans="1:11" ht="13.2">
      <c r="A221" s="82"/>
      <c r="B221" s="82"/>
      <c r="C221" s="117"/>
      <c r="E221" s="118"/>
      <c r="F221" s="82"/>
      <c r="G221" s="30"/>
      <c r="H221" s="30"/>
      <c r="I221" s="30"/>
      <c r="J221" s="30"/>
      <c r="K221" s="30"/>
    </row>
    <row r="222" spans="1:11" ht="13.2">
      <c r="A222" s="82"/>
      <c r="B222" s="82"/>
      <c r="C222" s="117"/>
      <c r="E222" s="118"/>
      <c r="F222" s="82"/>
      <c r="G222" s="30"/>
      <c r="H222" s="30"/>
      <c r="I222" s="30"/>
      <c r="J222" s="30"/>
      <c r="K222" s="30"/>
    </row>
    <row r="223" spans="1:11" ht="13.2">
      <c r="A223" s="82"/>
      <c r="B223" s="82"/>
      <c r="C223" s="117"/>
      <c r="E223" s="118"/>
      <c r="F223" s="82"/>
      <c r="G223" s="30"/>
      <c r="H223" s="30"/>
      <c r="I223" s="30"/>
      <c r="J223" s="30"/>
      <c r="K223" s="30"/>
    </row>
    <row r="224" spans="1:11" ht="13.2">
      <c r="A224" s="82"/>
      <c r="B224" s="82"/>
      <c r="C224" s="117"/>
      <c r="E224" s="118"/>
      <c r="F224" s="82"/>
      <c r="G224" s="30"/>
      <c r="H224" s="30"/>
      <c r="I224" s="30"/>
      <c r="J224" s="30"/>
      <c r="K224" s="30"/>
    </row>
    <row r="225" spans="1:11" ht="13.2">
      <c r="A225" s="82"/>
      <c r="B225" s="82"/>
      <c r="C225" s="117"/>
      <c r="E225" s="118"/>
      <c r="F225" s="82"/>
      <c r="G225" s="30"/>
      <c r="H225" s="30"/>
      <c r="I225" s="30"/>
      <c r="J225" s="30"/>
      <c r="K225" s="30"/>
    </row>
    <row r="226" spans="1:11" ht="13.2">
      <c r="A226" s="82"/>
      <c r="B226" s="82"/>
      <c r="C226" s="117"/>
      <c r="E226" s="118"/>
      <c r="F226" s="82"/>
      <c r="G226" s="30"/>
      <c r="H226" s="30"/>
      <c r="I226" s="30"/>
      <c r="J226" s="30"/>
      <c r="K226" s="30"/>
    </row>
    <row r="227" spans="1:11" ht="13.2">
      <c r="A227" s="82"/>
      <c r="B227" s="82"/>
      <c r="C227" s="117"/>
      <c r="E227" s="118"/>
      <c r="F227" s="82"/>
      <c r="G227" s="30"/>
      <c r="H227" s="30"/>
      <c r="I227" s="30"/>
      <c r="J227" s="30"/>
      <c r="K227" s="30"/>
    </row>
    <row r="228" spans="1:11" ht="13.2">
      <c r="A228" s="82"/>
      <c r="B228" s="82"/>
      <c r="C228" s="117"/>
      <c r="E228" s="118"/>
      <c r="F228" s="82"/>
      <c r="G228" s="30"/>
      <c r="H228" s="30"/>
      <c r="I228" s="30"/>
      <c r="J228" s="30"/>
      <c r="K228" s="30"/>
    </row>
    <row r="229" spans="1:11" ht="13.2">
      <c r="A229" s="82"/>
      <c r="B229" s="82"/>
      <c r="C229" s="117"/>
      <c r="E229" s="118"/>
      <c r="F229" s="82"/>
      <c r="G229" s="30"/>
      <c r="H229" s="30"/>
      <c r="I229" s="30"/>
      <c r="J229" s="30"/>
      <c r="K229" s="30"/>
    </row>
    <row r="230" spans="1:11" ht="13.2">
      <c r="A230" s="82"/>
      <c r="B230" s="82"/>
      <c r="C230" s="117"/>
      <c r="E230" s="118"/>
      <c r="F230" s="82"/>
      <c r="G230" s="30"/>
      <c r="H230" s="30"/>
      <c r="I230" s="30"/>
      <c r="J230" s="30"/>
      <c r="K230" s="30"/>
    </row>
    <row r="231" spans="1:11" ht="13.2">
      <c r="A231" s="82"/>
      <c r="B231" s="82"/>
      <c r="C231" s="117"/>
      <c r="E231" s="118"/>
      <c r="F231" s="82"/>
      <c r="G231" s="30"/>
      <c r="H231" s="30"/>
      <c r="I231" s="30"/>
      <c r="J231" s="30"/>
      <c r="K231" s="30"/>
    </row>
    <row r="232" spans="1:11" ht="13.2">
      <c r="A232" s="82"/>
      <c r="B232" s="82"/>
      <c r="C232" s="117"/>
      <c r="E232" s="118"/>
      <c r="F232" s="82"/>
      <c r="G232" s="30"/>
      <c r="H232" s="30"/>
      <c r="I232" s="30"/>
      <c r="J232" s="30"/>
      <c r="K232" s="30"/>
    </row>
    <row r="233" spans="1:11" ht="13.2">
      <c r="A233" s="82"/>
      <c r="B233" s="82"/>
      <c r="C233" s="117"/>
      <c r="E233" s="118"/>
      <c r="F233" s="82"/>
      <c r="G233" s="30"/>
      <c r="H233" s="30"/>
      <c r="I233" s="30"/>
      <c r="J233" s="30"/>
      <c r="K233" s="30"/>
    </row>
    <row r="234" spans="1:11" ht="13.2">
      <c r="A234" s="82"/>
      <c r="B234" s="82"/>
      <c r="C234" s="117"/>
      <c r="E234" s="118"/>
      <c r="F234" s="82"/>
      <c r="G234" s="30"/>
      <c r="H234" s="30"/>
      <c r="I234" s="30"/>
      <c r="J234" s="30"/>
      <c r="K234" s="30"/>
    </row>
    <row r="235" spans="1:11" ht="13.2">
      <c r="A235" s="82"/>
      <c r="B235" s="82"/>
      <c r="C235" s="117"/>
      <c r="E235" s="118"/>
      <c r="F235" s="82"/>
      <c r="G235" s="30"/>
      <c r="H235" s="30"/>
      <c r="I235" s="30"/>
      <c r="J235" s="30"/>
      <c r="K235" s="30"/>
    </row>
    <row r="236" spans="1:11" ht="13.2">
      <c r="A236" s="82"/>
      <c r="B236" s="82"/>
      <c r="C236" s="117"/>
      <c r="E236" s="118"/>
      <c r="F236" s="82"/>
      <c r="G236" s="30"/>
      <c r="H236" s="30"/>
      <c r="I236" s="30"/>
      <c r="J236" s="30"/>
      <c r="K236" s="30"/>
    </row>
    <row r="237" spans="1:11" ht="13.2">
      <c r="A237" s="82"/>
      <c r="B237" s="82"/>
      <c r="C237" s="117"/>
      <c r="E237" s="118"/>
      <c r="F237" s="82"/>
      <c r="G237" s="30"/>
      <c r="H237" s="30"/>
      <c r="I237" s="30"/>
      <c r="J237" s="30"/>
      <c r="K237" s="30"/>
    </row>
    <row r="238" spans="1:11" ht="13.2">
      <c r="A238" s="82"/>
      <c r="B238" s="82"/>
      <c r="C238" s="117"/>
      <c r="E238" s="118"/>
      <c r="F238" s="82"/>
      <c r="G238" s="30"/>
      <c r="H238" s="30"/>
      <c r="I238" s="30"/>
      <c r="J238" s="30"/>
      <c r="K238" s="30"/>
    </row>
    <row r="239" spans="1:11" ht="13.2">
      <c r="A239" s="82"/>
      <c r="B239" s="82"/>
      <c r="C239" s="117"/>
      <c r="E239" s="118"/>
      <c r="F239" s="82"/>
      <c r="G239" s="30"/>
      <c r="H239" s="30"/>
      <c r="I239" s="30"/>
      <c r="J239" s="30"/>
      <c r="K239" s="30"/>
    </row>
    <row r="240" spans="1:11" ht="13.2">
      <c r="A240" s="82"/>
      <c r="B240" s="82"/>
      <c r="C240" s="117"/>
      <c r="E240" s="118"/>
      <c r="F240" s="82"/>
      <c r="G240" s="30"/>
      <c r="H240" s="30"/>
      <c r="I240" s="30"/>
      <c r="J240" s="30"/>
      <c r="K240" s="30"/>
    </row>
    <row r="241" spans="1:11" ht="13.2">
      <c r="A241" s="82"/>
      <c r="B241" s="82"/>
      <c r="C241" s="117"/>
      <c r="E241" s="118"/>
      <c r="F241" s="82"/>
      <c r="G241" s="30"/>
      <c r="H241" s="30"/>
      <c r="I241" s="30"/>
      <c r="J241" s="30"/>
      <c r="K241" s="30"/>
    </row>
    <row r="242" spans="1:11" ht="13.2">
      <c r="A242" s="82"/>
      <c r="B242" s="82"/>
      <c r="C242" s="117"/>
      <c r="E242" s="118"/>
      <c r="F242" s="82"/>
      <c r="G242" s="30"/>
      <c r="H242" s="30"/>
      <c r="I242" s="30"/>
      <c r="J242" s="30"/>
      <c r="K242" s="30"/>
    </row>
    <row r="243" spans="1:11" ht="13.2">
      <c r="A243" s="82"/>
      <c r="B243" s="82"/>
      <c r="C243" s="117"/>
      <c r="E243" s="118"/>
      <c r="F243" s="82"/>
      <c r="G243" s="30"/>
      <c r="H243" s="30"/>
      <c r="I243" s="30"/>
      <c r="J243" s="30"/>
      <c r="K243" s="30"/>
    </row>
    <row r="244" spans="1:11" ht="13.2">
      <c r="A244" s="82"/>
      <c r="B244" s="82"/>
      <c r="C244" s="117"/>
      <c r="E244" s="118"/>
      <c r="F244" s="82"/>
      <c r="G244" s="30"/>
      <c r="H244" s="30"/>
      <c r="I244" s="30"/>
      <c r="J244" s="30"/>
      <c r="K244" s="30"/>
    </row>
    <row r="245" spans="1:11" ht="13.2">
      <c r="A245" s="82"/>
      <c r="B245" s="82"/>
      <c r="C245" s="117"/>
      <c r="E245" s="118"/>
      <c r="F245" s="82"/>
      <c r="G245" s="30"/>
      <c r="H245" s="30"/>
      <c r="I245" s="30"/>
      <c r="J245" s="30"/>
      <c r="K245" s="30"/>
    </row>
    <row r="246" spans="1:11" ht="13.2">
      <c r="A246" s="82"/>
      <c r="B246" s="82"/>
      <c r="C246" s="117"/>
      <c r="E246" s="118"/>
      <c r="F246" s="82"/>
      <c r="G246" s="30"/>
      <c r="H246" s="30"/>
      <c r="I246" s="30"/>
      <c r="J246" s="30"/>
      <c r="K246" s="30"/>
    </row>
    <row r="247" spans="1:11" ht="13.2">
      <c r="A247" s="82"/>
      <c r="B247" s="82"/>
      <c r="C247" s="117"/>
      <c r="E247" s="118"/>
      <c r="F247" s="82"/>
      <c r="G247" s="30"/>
      <c r="H247" s="30"/>
      <c r="I247" s="30"/>
      <c r="J247" s="30"/>
      <c r="K247" s="30"/>
    </row>
    <row r="248" spans="1:11" ht="13.2">
      <c r="A248" s="82"/>
      <c r="B248" s="82"/>
      <c r="C248" s="117"/>
      <c r="E248" s="118"/>
      <c r="F248" s="82"/>
      <c r="G248" s="30"/>
      <c r="H248" s="30"/>
      <c r="I248" s="30"/>
      <c r="J248" s="30"/>
      <c r="K248" s="30"/>
    </row>
    <row r="249" spans="1:11" ht="13.2">
      <c r="A249" s="82"/>
      <c r="B249" s="82"/>
      <c r="C249" s="117"/>
      <c r="E249" s="118"/>
      <c r="F249" s="82"/>
      <c r="G249" s="30"/>
      <c r="H249" s="30"/>
      <c r="I249" s="30"/>
      <c r="J249" s="30"/>
      <c r="K249" s="30"/>
    </row>
    <row r="250" spans="1:11" ht="13.2">
      <c r="A250" s="82"/>
      <c r="B250" s="82"/>
      <c r="C250" s="117"/>
      <c r="E250" s="118"/>
      <c r="F250" s="82"/>
      <c r="G250" s="30"/>
      <c r="H250" s="30"/>
      <c r="I250" s="30"/>
      <c r="J250" s="30"/>
      <c r="K250" s="30"/>
    </row>
    <row r="251" spans="1:11" ht="13.2">
      <c r="A251" s="82"/>
      <c r="B251" s="82"/>
      <c r="C251" s="117"/>
      <c r="E251" s="118"/>
      <c r="F251" s="82"/>
      <c r="G251" s="30"/>
      <c r="H251" s="30"/>
      <c r="I251" s="30"/>
      <c r="J251" s="30"/>
      <c r="K251" s="30"/>
    </row>
    <row r="252" spans="1:11" ht="13.2">
      <c r="A252" s="82"/>
      <c r="B252" s="82"/>
      <c r="C252" s="117"/>
      <c r="E252" s="118"/>
      <c r="F252" s="82"/>
      <c r="G252" s="30"/>
      <c r="H252" s="30"/>
      <c r="I252" s="30"/>
      <c r="J252" s="30"/>
      <c r="K252" s="30"/>
    </row>
    <row r="253" spans="1:11" ht="13.2">
      <c r="A253" s="82"/>
      <c r="B253" s="82"/>
      <c r="C253" s="117"/>
      <c r="E253" s="118"/>
      <c r="F253" s="82"/>
      <c r="G253" s="30"/>
      <c r="H253" s="30"/>
      <c r="I253" s="30"/>
      <c r="J253" s="30"/>
      <c r="K253" s="30"/>
    </row>
    <row r="254" spans="1:11" ht="13.2">
      <c r="A254" s="82"/>
      <c r="B254" s="82"/>
      <c r="C254" s="117"/>
      <c r="E254" s="118"/>
      <c r="F254" s="82"/>
      <c r="G254" s="30"/>
      <c r="H254" s="30"/>
      <c r="I254" s="30"/>
      <c r="J254" s="30"/>
      <c r="K254" s="30"/>
    </row>
    <row r="255" spans="1:11" ht="13.2">
      <c r="A255" s="82"/>
      <c r="B255" s="82"/>
      <c r="C255" s="117"/>
      <c r="E255" s="118"/>
      <c r="F255" s="82"/>
      <c r="G255" s="30"/>
      <c r="H255" s="30"/>
      <c r="I255" s="30"/>
      <c r="J255" s="30"/>
      <c r="K255" s="30"/>
    </row>
    <row r="256" spans="1:11" ht="13.2">
      <c r="A256" s="82"/>
      <c r="B256" s="82"/>
      <c r="C256" s="117"/>
      <c r="E256" s="118"/>
      <c r="F256" s="82"/>
      <c r="G256" s="30"/>
      <c r="H256" s="30"/>
      <c r="I256" s="30"/>
      <c r="J256" s="30"/>
      <c r="K256" s="30"/>
    </row>
    <row r="257" spans="1:11" ht="13.2">
      <c r="A257" s="82"/>
      <c r="B257" s="82"/>
      <c r="C257" s="117"/>
      <c r="E257" s="118"/>
      <c r="F257" s="82"/>
      <c r="G257" s="30"/>
      <c r="H257" s="30"/>
      <c r="I257" s="30"/>
      <c r="J257" s="30"/>
      <c r="K257" s="30"/>
    </row>
    <row r="258" spans="1:11" ht="13.2">
      <c r="A258" s="82"/>
      <c r="B258" s="82"/>
      <c r="C258" s="117"/>
      <c r="E258" s="118"/>
      <c r="F258" s="82"/>
      <c r="G258" s="30"/>
      <c r="H258" s="30"/>
      <c r="I258" s="30"/>
      <c r="J258" s="30"/>
      <c r="K258" s="30"/>
    </row>
    <row r="259" spans="1:11" ht="13.2">
      <c r="A259" s="82"/>
      <c r="B259" s="82"/>
      <c r="C259" s="117"/>
      <c r="E259" s="118"/>
      <c r="F259" s="82"/>
      <c r="G259" s="30"/>
      <c r="H259" s="30"/>
      <c r="I259" s="30"/>
      <c r="J259" s="30"/>
      <c r="K259" s="30"/>
    </row>
    <row r="260" spans="1:11" ht="13.2">
      <c r="A260" s="82"/>
      <c r="B260" s="82"/>
      <c r="C260" s="117"/>
      <c r="E260" s="118"/>
      <c r="F260" s="82"/>
      <c r="G260" s="30"/>
      <c r="H260" s="30"/>
      <c r="I260" s="30"/>
      <c r="J260" s="30"/>
      <c r="K260" s="30"/>
    </row>
    <row r="261" spans="1:11" ht="13.2">
      <c r="A261" s="82"/>
      <c r="B261" s="82"/>
      <c r="C261" s="117"/>
      <c r="E261" s="118"/>
      <c r="F261" s="82"/>
      <c r="G261" s="30"/>
      <c r="H261" s="30"/>
      <c r="I261" s="30"/>
      <c r="J261" s="30"/>
      <c r="K261" s="30"/>
    </row>
    <row r="262" spans="1:11" ht="13.2">
      <c r="A262" s="82"/>
      <c r="B262" s="82"/>
      <c r="C262" s="117"/>
      <c r="E262" s="118"/>
      <c r="F262" s="82"/>
      <c r="G262" s="30"/>
      <c r="H262" s="30"/>
      <c r="I262" s="30"/>
      <c r="J262" s="30"/>
      <c r="K262" s="30"/>
    </row>
    <row r="263" spans="1:11" ht="13.2">
      <c r="A263" s="82"/>
      <c r="B263" s="82"/>
      <c r="C263" s="117"/>
      <c r="E263" s="118"/>
      <c r="F263" s="82"/>
      <c r="G263" s="30"/>
      <c r="H263" s="30"/>
      <c r="I263" s="30"/>
      <c r="J263" s="30"/>
      <c r="K263" s="30"/>
    </row>
    <row r="264" spans="1:11" ht="13.2">
      <c r="A264" s="82"/>
      <c r="B264" s="82"/>
      <c r="C264" s="117"/>
      <c r="E264" s="118"/>
      <c r="F264" s="82"/>
      <c r="G264" s="30"/>
      <c r="H264" s="30"/>
      <c r="I264" s="30"/>
      <c r="J264" s="30"/>
      <c r="K264" s="30"/>
    </row>
    <row r="265" spans="1:11" ht="13.2">
      <c r="A265" s="82"/>
      <c r="B265" s="82"/>
      <c r="C265" s="117"/>
      <c r="E265" s="118"/>
      <c r="F265" s="82"/>
      <c r="G265" s="30"/>
      <c r="H265" s="30"/>
      <c r="I265" s="30"/>
      <c r="J265" s="30"/>
      <c r="K265" s="30"/>
    </row>
    <row r="266" spans="1:11" ht="13.2">
      <c r="A266" s="82"/>
      <c r="B266" s="82"/>
      <c r="C266" s="117"/>
      <c r="E266" s="118"/>
      <c r="F266" s="82"/>
      <c r="G266" s="30"/>
      <c r="H266" s="30"/>
      <c r="I266" s="30"/>
      <c r="J266" s="30"/>
      <c r="K266" s="30"/>
    </row>
    <row r="267" spans="1:11" ht="13.2">
      <c r="A267" s="82"/>
      <c r="B267" s="82"/>
      <c r="C267" s="117"/>
      <c r="E267" s="118"/>
      <c r="F267" s="82"/>
      <c r="G267" s="30"/>
      <c r="H267" s="30"/>
      <c r="I267" s="30"/>
      <c r="J267" s="30"/>
      <c r="K267" s="30"/>
    </row>
    <row r="268" spans="1:11" ht="13.2">
      <c r="A268" s="82"/>
      <c r="B268" s="82"/>
      <c r="C268" s="117"/>
      <c r="E268" s="118"/>
      <c r="F268" s="82"/>
      <c r="G268" s="30"/>
      <c r="H268" s="30"/>
      <c r="I268" s="30"/>
      <c r="J268" s="30"/>
      <c r="K268" s="30"/>
    </row>
    <row r="269" spans="1:11" ht="13.2">
      <c r="A269" s="82"/>
      <c r="B269" s="82"/>
      <c r="C269" s="117"/>
      <c r="E269" s="118"/>
      <c r="F269" s="82"/>
      <c r="G269" s="30"/>
      <c r="H269" s="30"/>
      <c r="I269" s="30"/>
      <c r="J269" s="30"/>
      <c r="K269" s="30"/>
    </row>
    <row r="270" spans="1:11" ht="13.2">
      <c r="A270" s="82"/>
      <c r="B270" s="82"/>
      <c r="C270" s="117"/>
      <c r="E270" s="118"/>
      <c r="F270" s="82"/>
      <c r="G270" s="30"/>
      <c r="H270" s="30"/>
      <c r="I270" s="30"/>
      <c r="J270" s="30"/>
      <c r="K270" s="30"/>
    </row>
    <row r="271" spans="1:11" ht="13.2">
      <c r="A271" s="82"/>
      <c r="B271" s="82"/>
      <c r="C271" s="117"/>
      <c r="E271" s="118"/>
      <c r="F271" s="82"/>
      <c r="G271" s="30"/>
      <c r="H271" s="30"/>
      <c r="I271" s="30"/>
      <c r="J271" s="30"/>
      <c r="K271" s="30"/>
    </row>
    <row r="272" spans="1:11" ht="13.2">
      <c r="A272" s="82"/>
      <c r="B272" s="82"/>
      <c r="C272" s="117"/>
      <c r="E272" s="118"/>
      <c r="F272" s="82"/>
      <c r="G272" s="30"/>
      <c r="H272" s="30"/>
      <c r="I272" s="30"/>
      <c r="J272" s="30"/>
      <c r="K272" s="30"/>
    </row>
    <row r="273" spans="1:11" ht="13.2">
      <c r="A273" s="82"/>
      <c r="B273" s="82"/>
      <c r="C273" s="117"/>
      <c r="E273" s="118"/>
      <c r="F273" s="82"/>
      <c r="G273" s="30"/>
      <c r="H273" s="30"/>
      <c r="I273" s="30"/>
      <c r="J273" s="30"/>
      <c r="K273" s="30"/>
    </row>
    <row r="274" spans="1:11" ht="13.2">
      <c r="A274" s="82"/>
      <c r="B274" s="82"/>
      <c r="C274" s="117"/>
      <c r="E274" s="118"/>
      <c r="F274" s="82"/>
      <c r="G274" s="30"/>
      <c r="H274" s="30"/>
      <c r="I274" s="30"/>
      <c r="J274" s="30"/>
      <c r="K274" s="30"/>
    </row>
    <row r="275" spans="1:11" ht="13.2">
      <c r="A275" s="82"/>
      <c r="B275" s="82"/>
      <c r="C275" s="117"/>
      <c r="E275" s="118"/>
      <c r="F275" s="82"/>
      <c r="G275" s="30"/>
      <c r="H275" s="30"/>
      <c r="I275" s="30"/>
      <c r="J275" s="30"/>
      <c r="K275" s="30"/>
    </row>
    <row r="276" spans="1:11" ht="13.2">
      <c r="A276" s="82"/>
      <c r="B276" s="82"/>
      <c r="C276" s="117"/>
      <c r="E276" s="118"/>
      <c r="F276" s="82"/>
      <c r="G276" s="30"/>
      <c r="H276" s="30"/>
      <c r="I276" s="30"/>
      <c r="J276" s="30"/>
      <c r="K276" s="30"/>
    </row>
    <row r="277" spans="1:11" ht="13.2">
      <c r="A277" s="82"/>
      <c r="B277" s="82"/>
      <c r="C277" s="117"/>
      <c r="E277" s="118"/>
      <c r="F277" s="82"/>
      <c r="G277" s="30"/>
      <c r="H277" s="30"/>
      <c r="I277" s="30"/>
      <c r="J277" s="30"/>
      <c r="K277" s="30"/>
    </row>
    <row r="278" spans="1:11" ht="13.2">
      <c r="A278" s="82"/>
      <c r="B278" s="82"/>
      <c r="C278" s="117"/>
      <c r="E278" s="118"/>
      <c r="F278" s="82"/>
      <c r="G278" s="30"/>
      <c r="H278" s="30"/>
      <c r="I278" s="30"/>
      <c r="J278" s="30"/>
      <c r="K278" s="30"/>
    </row>
    <row r="279" spans="1:11" ht="13.2">
      <c r="A279" s="82"/>
      <c r="B279" s="82"/>
      <c r="C279" s="117"/>
      <c r="E279" s="118"/>
      <c r="F279" s="82"/>
      <c r="G279" s="30"/>
      <c r="H279" s="30"/>
      <c r="I279" s="30"/>
      <c r="J279" s="30"/>
      <c r="K279" s="30"/>
    </row>
    <row r="280" spans="1:11" ht="13.2">
      <c r="A280" s="82"/>
      <c r="B280" s="82"/>
      <c r="C280" s="117"/>
      <c r="E280" s="118"/>
      <c r="F280" s="82"/>
      <c r="G280" s="30"/>
      <c r="H280" s="30"/>
      <c r="I280" s="30"/>
      <c r="J280" s="30"/>
      <c r="K280" s="30"/>
    </row>
    <row r="281" spans="1:11" ht="13.2">
      <c r="A281" s="82"/>
      <c r="B281" s="82"/>
      <c r="C281" s="117"/>
      <c r="E281" s="118"/>
      <c r="F281" s="82"/>
      <c r="G281" s="30"/>
      <c r="H281" s="30"/>
      <c r="I281" s="30"/>
      <c r="J281" s="30"/>
      <c r="K281" s="30"/>
    </row>
    <row r="282" spans="1:11" ht="13.2">
      <c r="A282" s="82"/>
      <c r="B282" s="82"/>
      <c r="C282" s="117"/>
      <c r="E282" s="118"/>
      <c r="F282" s="82"/>
      <c r="G282" s="30"/>
      <c r="H282" s="30"/>
      <c r="I282" s="30"/>
      <c r="J282" s="30"/>
      <c r="K282" s="30"/>
    </row>
    <row r="283" spans="1:11" ht="13.2">
      <c r="A283" s="82"/>
      <c r="B283" s="82"/>
      <c r="C283" s="117"/>
      <c r="E283" s="118"/>
      <c r="F283" s="82"/>
      <c r="G283" s="30"/>
      <c r="H283" s="30"/>
      <c r="I283" s="30"/>
      <c r="J283" s="30"/>
      <c r="K283" s="30"/>
    </row>
    <row r="284" spans="1:11" ht="13.2">
      <c r="A284" s="82"/>
      <c r="B284" s="82"/>
      <c r="C284" s="117"/>
      <c r="E284" s="118"/>
      <c r="F284" s="82"/>
      <c r="G284" s="30"/>
      <c r="H284" s="30"/>
      <c r="I284" s="30"/>
      <c r="J284" s="30"/>
      <c r="K284" s="30"/>
    </row>
    <row r="285" spans="1:11" ht="13.2">
      <c r="A285" s="82"/>
      <c r="B285" s="82"/>
      <c r="C285" s="117"/>
      <c r="E285" s="118"/>
      <c r="F285" s="82"/>
      <c r="G285" s="30"/>
      <c r="H285" s="30"/>
      <c r="I285" s="30"/>
      <c r="J285" s="30"/>
      <c r="K285" s="30"/>
    </row>
    <row r="286" spans="1:11" ht="13.2">
      <c r="A286" s="82"/>
      <c r="B286" s="82"/>
      <c r="C286" s="117"/>
      <c r="E286" s="118"/>
      <c r="F286" s="82"/>
      <c r="G286" s="30"/>
      <c r="H286" s="30"/>
      <c r="I286" s="30"/>
      <c r="J286" s="30"/>
      <c r="K286" s="30"/>
    </row>
    <row r="287" spans="1:11" ht="13.2">
      <c r="A287" s="82"/>
      <c r="B287" s="82"/>
      <c r="C287" s="117"/>
      <c r="E287" s="118"/>
      <c r="F287" s="82"/>
      <c r="G287" s="30"/>
      <c r="H287" s="30"/>
      <c r="I287" s="30"/>
      <c r="J287" s="30"/>
      <c r="K287" s="30"/>
    </row>
    <row r="288" spans="1:11" ht="13.2">
      <c r="A288" s="82"/>
      <c r="B288" s="82"/>
      <c r="C288" s="117"/>
      <c r="E288" s="118"/>
      <c r="F288" s="82"/>
      <c r="G288" s="30"/>
      <c r="H288" s="30"/>
      <c r="I288" s="30"/>
      <c r="J288" s="30"/>
      <c r="K288" s="30"/>
    </row>
    <row r="289" spans="1:11" ht="13.2">
      <c r="A289" s="82"/>
      <c r="B289" s="82"/>
      <c r="C289" s="117"/>
      <c r="E289" s="118"/>
      <c r="F289" s="82"/>
      <c r="G289" s="30"/>
      <c r="H289" s="30"/>
      <c r="I289" s="30"/>
      <c r="J289" s="30"/>
      <c r="K289" s="30"/>
    </row>
    <row r="290" spans="1:11" ht="13.2">
      <c r="A290" s="82"/>
      <c r="B290" s="82"/>
      <c r="C290" s="117"/>
      <c r="E290" s="118"/>
      <c r="F290" s="82"/>
      <c r="G290" s="30"/>
      <c r="H290" s="30"/>
      <c r="I290" s="30"/>
      <c r="J290" s="30"/>
      <c r="K290" s="30"/>
    </row>
    <row r="291" spans="1:11" ht="13.2">
      <c r="A291" s="82"/>
      <c r="B291" s="82"/>
      <c r="C291" s="117"/>
      <c r="E291" s="118"/>
      <c r="F291" s="82"/>
      <c r="G291" s="30"/>
      <c r="H291" s="30"/>
      <c r="I291" s="30"/>
      <c r="J291" s="30"/>
      <c r="K291" s="30"/>
    </row>
    <row r="292" spans="1:11" ht="13.2">
      <c r="A292" s="82"/>
      <c r="B292" s="82"/>
      <c r="C292" s="117"/>
      <c r="E292" s="118"/>
      <c r="F292" s="82"/>
      <c r="G292" s="30"/>
      <c r="H292" s="30"/>
      <c r="I292" s="30"/>
      <c r="J292" s="30"/>
      <c r="K292" s="30"/>
    </row>
    <row r="293" spans="1:11" ht="13.2">
      <c r="A293" s="82"/>
      <c r="B293" s="82"/>
      <c r="C293" s="117"/>
      <c r="E293" s="118"/>
      <c r="F293" s="82"/>
      <c r="G293" s="30"/>
      <c r="H293" s="30"/>
      <c r="I293" s="30"/>
      <c r="J293" s="30"/>
      <c r="K293" s="30"/>
    </row>
    <row r="294" spans="1:11" ht="13.2">
      <c r="A294" s="82"/>
      <c r="B294" s="82"/>
      <c r="C294" s="117"/>
      <c r="E294" s="118"/>
      <c r="F294" s="82"/>
      <c r="G294" s="30"/>
      <c r="H294" s="30"/>
      <c r="I294" s="30"/>
      <c r="J294" s="30"/>
      <c r="K294" s="30"/>
    </row>
    <row r="295" spans="1:11" ht="13.2">
      <c r="A295" s="82"/>
      <c r="B295" s="82"/>
      <c r="C295" s="117"/>
      <c r="E295" s="118"/>
      <c r="F295" s="82"/>
      <c r="G295" s="30"/>
      <c r="H295" s="30"/>
      <c r="I295" s="30"/>
      <c r="J295" s="30"/>
      <c r="K295" s="30"/>
    </row>
    <row r="296" spans="1:11" ht="13.2">
      <c r="A296" s="82"/>
      <c r="B296" s="82"/>
      <c r="C296" s="117"/>
      <c r="E296" s="118"/>
      <c r="F296" s="82"/>
      <c r="G296" s="30"/>
      <c r="H296" s="30"/>
      <c r="I296" s="30"/>
      <c r="J296" s="30"/>
      <c r="K296" s="30"/>
    </row>
    <row r="297" spans="1:11" ht="13.2">
      <c r="A297" s="82"/>
      <c r="B297" s="82"/>
      <c r="C297" s="117"/>
      <c r="E297" s="118"/>
      <c r="F297" s="82"/>
      <c r="G297" s="30"/>
      <c r="H297" s="30"/>
      <c r="I297" s="30"/>
      <c r="J297" s="30"/>
      <c r="K297" s="30"/>
    </row>
    <row r="298" spans="1:11" ht="13.2">
      <c r="A298" s="82"/>
      <c r="B298" s="82"/>
      <c r="C298" s="117"/>
      <c r="E298" s="118"/>
      <c r="F298" s="82"/>
      <c r="G298" s="30"/>
      <c r="H298" s="30"/>
      <c r="I298" s="30"/>
      <c r="J298" s="30"/>
      <c r="K298" s="30"/>
    </row>
    <row r="299" spans="1:11" ht="13.2">
      <c r="A299" s="82"/>
      <c r="B299" s="82"/>
      <c r="C299" s="117"/>
      <c r="E299" s="118"/>
      <c r="F299" s="82"/>
      <c r="G299" s="30"/>
      <c r="H299" s="30"/>
      <c r="I299" s="30"/>
      <c r="J299" s="30"/>
      <c r="K299" s="30"/>
    </row>
    <row r="300" spans="1:11" ht="13.2">
      <c r="A300" s="82"/>
      <c r="B300" s="82"/>
      <c r="C300" s="117"/>
      <c r="E300" s="118"/>
      <c r="F300" s="82"/>
      <c r="G300" s="30"/>
      <c r="H300" s="30"/>
      <c r="I300" s="30"/>
      <c r="J300" s="30"/>
      <c r="K300" s="30"/>
    </row>
    <row r="301" spans="1:11" ht="13.2">
      <c r="A301" s="82"/>
      <c r="B301" s="82"/>
      <c r="C301" s="117"/>
      <c r="E301" s="118"/>
      <c r="F301" s="82"/>
      <c r="G301" s="30"/>
      <c r="H301" s="30"/>
      <c r="I301" s="30"/>
      <c r="J301" s="30"/>
      <c r="K301" s="30"/>
    </row>
    <row r="302" spans="1:11" ht="13.2">
      <c r="A302" s="82"/>
      <c r="B302" s="82"/>
      <c r="C302" s="117"/>
      <c r="E302" s="118"/>
      <c r="F302" s="82"/>
      <c r="G302" s="30"/>
      <c r="H302" s="30"/>
      <c r="I302" s="30"/>
      <c r="J302" s="30"/>
      <c r="K302" s="30"/>
    </row>
    <row r="303" spans="1:11" ht="13.2">
      <c r="A303" s="82"/>
      <c r="B303" s="82"/>
      <c r="C303" s="117"/>
      <c r="E303" s="118"/>
      <c r="F303" s="82"/>
      <c r="G303" s="30"/>
      <c r="H303" s="30"/>
      <c r="I303" s="30"/>
      <c r="J303" s="30"/>
      <c r="K303" s="30"/>
    </row>
    <row r="304" spans="1:11" ht="13.2">
      <c r="A304" s="82"/>
      <c r="B304" s="82"/>
      <c r="C304" s="117"/>
      <c r="E304" s="118"/>
      <c r="F304" s="82"/>
      <c r="G304" s="30"/>
      <c r="H304" s="30"/>
      <c r="I304" s="30"/>
      <c r="J304" s="30"/>
      <c r="K304" s="30"/>
    </row>
    <row r="305" spans="1:11" ht="13.2">
      <c r="A305" s="82"/>
      <c r="B305" s="82"/>
      <c r="C305" s="117"/>
      <c r="E305" s="118"/>
      <c r="F305" s="82"/>
      <c r="G305" s="30"/>
      <c r="H305" s="30"/>
      <c r="I305" s="30"/>
      <c r="J305" s="30"/>
      <c r="K305" s="30"/>
    </row>
    <row r="306" spans="1:11" ht="13.2">
      <c r="A306" s="82"/>
      <c r="B306" s="82"/>
      <c r="C306" s="117"/>
      <c r="E306" s="118"/>
      <c r="F306" s="82"/>
      <c r="G306" s="30"/>
      <c r="H306" s="30"/>
      <c r="I306" s="30"/>
      <c r="J306" s="30"/>
      <c r="K306" s="30"/>
    </row>
    <row r="307" spans="1:11" ht="13.2">
      <c r="A307" s="82"/>
      <c r="B307" s="82"/>
      <c r="C307" s="117"/>
      <c r="E307" s="118"/>
      <c r="F307" s="82"/>
      <c r="G307" s="30"/>
      <c r="H307" s="30"/>
      <c r="I307" s="30"/>
      <c r="J307" s="30"/>
      <c r="K307" s="30"/>
    </row>
    <row r="308" spans="1:11" ht="13.2">
      <c r="A308" s="82"/>
      <c r="B308" s="82"/>
      <c r="C308" s="117"/>
      <c r="E308" s="118"/>
      <c r="F308" s="82"/>
      <c r="G308" s="30"/>
      <c r="H308" s="30"/>
      <c r="I308" s="30"/>
      <c r="J308" s="30"/>
      <c r="K308" s="30"/>
    </row>
    <row r="309" spans="1:11" ht="13.2">
      <c r="A309" s="82"/>
      <c r="B309" s="82"/>
      <c r="C309" s="117"/>
      <c r="E309" s="118"/>
      <c r="F309" s="82"/>
      <c r="G309" s="30"/>
      <c r="H309" s="30"/>
      <c r="I309" s="30"/>
      <c r="J309" s="30"/>
      <c r="K309" s="30"/>
    </row>
    <row r="310" spans="1:11" ht="13.2">
      <c r="A310" s="82"/>
      <c r="B310" s="82"/>
      <c r="C310" s="117"/>
      <c r="E310" s="118"/>
      <c r="F310" s="82"/>
      <c r="G310" s="30"/>
      <c r="H310" s="30"/>
      <c r="I310" s="30"/>
      <c r="J310" s="30"/>
      <c r="K310" s="30"/>
    </row>
    <row r="311" spans="1:11" ht="13.2">
      <c r="A311" s="82"/>
      <c r="B311" s="82"/>
      <c r="C311" s="117"/>
      <c r="E311" s="118"/>
      <c r="F311" s="82"/>
      <c r="G311" s="30"/>
      <c r="H311" s="30"/>
      <c r="I311" s="30"/>
      <c r="J311" s="30"/>
      <c r="K311" s="30"/>
    </row>
    <row r="312" spans="1:11" ht="13.2">
      <c r="A312" s="82"/>
      <c r="B312" s="82"/>
      <c r="C312" s="117"/>
      <c r="E312" s="118"/>
      <c r="F312" s="82"/>
      <c r="G312" s="30"/>
      <c r="H312" s="30"/>
      <c r="I312" s="30"/>
      <c r="J312" s="30"/>
      <c r="K312" s="30"/>
    </row>
    <row r="313" spans="1:11" ht="13.2">
      <c r="A313" s="82"/>
      <c r="B313" s="82"/>
      <c r="C313" s="117"/>
      <c r="E313" s="118"/>
      <c r="F313" s="82"/>
      <c r="G313" s="30"/>
      <c r="H313" s="30"/>
      <c r="I313" s="30"/>
      <c r="J313" s="30"/>
      <c r="K313" s="30"/>
    </row>
    <row r="314" spans="1:11" ht="13.2">
      <c r="A314" s="82"/>
      <c r="B314" s="82"/>
      <c r="C314" s="117"/>
      <c r="E314" s="118"/>
      <c r="F314" s="82"/>
      <c r="G314" s="30"/>
      <c r="H314" s="30"/>
      <c r="I314" s="30"/>
      <c r="J314" s="30"/>
      <c r="K314" s="30"/>
    </row>
    <row r="315" spans="1:11" ht="13.2">
      <c r="A315" s="82"/>
      <c r="B315" s="82"/>
      <c r="C315" s="117"/>
      <c r="E315" s="118"/>
      <c r="F315" s="82"/>
      <c r="G315" s="30"/>
      <c r="H315" s="30"/>
      <c r="I315" s="30"/>
      <c r="J315" s="30"/>
      <c r="K315" s="30"/>
    </row>
    <row r="316" spans="1:11" ht="13.2">
      <c r="A316" s="82"/>
      <c r="B316" s="82"/>
      <c r="C316" s="117"/>
      <c r="E316" s="118"/>
      <c r="F316" s="82"/>
      <c r="G316" s="30"/>
      <c r="H316" s="30"/>
      <c r="I316" s="30"/>
      <c r="J316" s="30"/>
      <c r="K316" s="30"/>
    </row>
    <row r="317" spans="1:11" ht="13.2">
      <c r="A317" s="82"/>
      <c r="B317" s="82"/>
      <c r="C317" s="117"/>
      <c r="E317" s="118"/>
      <c r="F317" s="82"/>
      <c r="G317" s="30"/>
      <c r="H317" s="30"/>
      <c r="I317" s="30"/>
      <c r="J317" s="30"/>
      <c r="K317" s="30"/>
    </row>
    <row r="318" spans="1:11" ht="13.2">
      <c r="A318" s="82"/>
      <c r="B318" s="82"/>
      <c r="C318" s="117"/>
      <c r="E318" s="118"/>
      <c r="F318" s="82"/>
      <c r="G318" s="30"/>
      <c r="H318" s="30"/>
      <c r="I318" s="30"/>
      <c r="J318" s="30"/>
      <c r="K318" s="30"/>
    </row>
    <row r="319" spans="1:11" ht="13.2">
      <c r="A319" s="82"/>
      <c r="B319" s="82"/>
      <c r="C319" s="117"/>
      <c r="E319" s="118"/>
      <c r="F319" s="82"/>
      <c r="G319" s="30"/>
      <c r="H319" s="30"/>
      <c r="I319" s="30"/>
      <c r="J319" s="30"/>
      <c r="K319" s="30"/>
    </row>
    <row r="320" spans="1:11" ht="13.2">
      <c r="A320" s="82"/>
      <c r="B320" s="82"/>
      <c r="C320" s="117"/>
      <c r="E320" s="118"/>
      <c r="F320" s="82"/>
      <c r="G320" s="30"/>
      <c r="H320" s="30"/>
      <c r="I320" s="30"/>
      <c r="J320" s="30"/>
      <c r="K320" s="30"/>
    </row>
    <row r="321" spans="1:11" ht="13.2">
      <c r="A321" s="82"/>
      <c r="B321" s="82"/>
      <c r="C321" s="117"/>
      <c r="E321" s="118"/>
      <c r="F321" s="82"/>
      <c r="G321" s="30"/>
      <c r="H321" s="30"/>
      <c r="I321" s="30"/>
      <c r="J321" s="30"/>
      <c r="K321" s="30"/>
    </row>
    <row r="322" spans="1:11" ht="13.2">
      <c r="A322" s="82"/>
      <c r="B322" s="82"/>
      <c r="C322" s="117"/>
      <c r="E322" s="118"/>
      <c r="F322" s="82"/>
      <c r="G322" s="30"/>
      <c r="H322" s="30"/>
      <c r="I322" s="30"/>
      <c r="J322" s="30"/>
      <c r="K322" s="30"/>
    </row>
    <row r="323" spans="1:11" ht="13.2">
      <c r="A323" s="82"/>
      <c r="B323" s="82"/>
      <c r="C323" s="117"/>
      <c r="E323" s="118"/>
      <c r="F323" s="82"/>
      <c r="G323" s="30"/>
      <c r="H323" s="30"/>
      <c r="I323" s="30"/>
      <c r="J323" s="30"/>
      <c r="K323" s="30"/>
    </row>
    <row r="324" spans="1:11" ht="13.2">
      <c r="A324" s="82"/>
      <c r="B324" s="82"/>
      <c r="C324" s="117"/>
      <c r="E324" s="118"/>
      <c r="F324" s="82"/>
      <c r="G324" s="30"/>
      <c r="H324" s="30"/>
      <c r="I324" s="30"/>
      <c r="J324" s="30"/>
      <c r="K324" s="30"/>
    </row>
    <row r="325" spans="1:11" ht="13.2">
      <c r="A325" s="82"/>
      <c r="B325" s="82"/>
      <c r="C325" s="117"/>
      <c r="E325" s="118"/>
      <c r="F325" s="82"/>
      <c r="G325" s="30"/>
      <c r="H325" s="30"/>
      <c r="I325" s="30"/>
      <c r="J325" s="30"/>
      <c r="K325" s="30"/>
    </row>
    <row r="326" spans="1:11" ht="13.2">
      <c r="A326" s="82"/>
      <c r="B326" s="82"/>
      <c r="C326" s="117"/>
      <c r="E326" s="118"/>
      <c r="F326" s="82"/>
      <c r="G326" s="30"/>
      <c r="H326" s="30"/>
      <c r="I326" s="30"/>
      <c r="J326" s="30"/>
      <c r="K326" s="30"/>
    </row>
    <row r="327" spans="1:11" ht="13.2">
      <c r="A327" s="82"/>
      <c r="B327" s="82"/>
      <c r="C327" s="117"/>
      <c r="E327" s="118"/>
      <c r="F327" s="82"/>
      <c r="G327" s="30"/>
      <c r="H327" s="30"/>
      <c r="I327" s="30"/>
      <c r="J327" s="30"/>
      <c r="K327" s="30"/>
    </row>
    <row r="328" spans="1:11" ht="13.2">
      <c r="A328" s="82"/>
      <c r="B328" s="82"/>
      <c r="C328" s="117"/>
      <c r="E328" s="118"/>
      <c r="F328" s="82"/>
      <c r="G328" s="30"/>
      <c r="H328" s="30"/>
      <c r="I328" s="30"/>
      <c r="J328" s="30"/>
      <c r="K328" s="30"/>
    </row>
    <row r="329" spans="1:11" ht="13.2">
      <c r="A329" s="82"/>
      <c r="B329" s="82"/>
      <c r="C329" s="117"/>
      <c r="E329" s="118"/>
      <c r="F329" s="82"/>
      <c r="G329" s="30"/>
      <c r="H329" s="30"/>
      <c r="I329" s="30"/>
      <c r="J329" s="30"/>
      <c r="K329" s="30"/>
    </row>
    <row r="330" spans="1:11" ht="13.2">
      <c r="A330" s="82"/>
      <c r="B330" s="82"/>
      <c r="C330" s="117"/>
      <c r="E330" s="118"/>
      <c r="F330" s="82"/>
      <c r="G330" s="30"/>
      <c r="H330" s="30"/>
      <c r="I330" s="30"/>
      <c r="J330" s="30"/>
      <c r="K330" s="30"/>
    </row>
    <row r="331" spans="1:11" ht="13.2">
      <c r="A331" s="82"/>
      <c r="B331" s="82"/>
      <c r="C331" s="117"/>
      <c r="E331" s="118"/>
      <c r="F331" s="82"/>
      <c r="G331" s="30"/>
      <c r="H331" s="30"/>
      <c r="I331" s="30"/>
      <c r="J331" s="30"/>
      <c r="K331" s="30"/>
    </row>
    <row r="332" spans="1:11" ht="13.2">
      <c r="A332" s="82"/>
      <c r="B332" s="82"/>
      <c r="C332" s="117"/>
      <c r="E332" s="118"/>
      <c r="F332" s="82"/>
      <c r="G332" s="30"/>
      <c r="H332" s="30"/>
      <c r="I332" s="30"/>
      <c r="J332" s="30"/>
      <c r="K332" s="30"/>
    </row>
    <row r="333" spans="1:11" ht="13.2">
      <c r="A333" s="82"/>
      <c r="B333" s="82"/>
      <c r="C333" s="117"/>
      <c r="E333" s="118"/>
      <c r="F333" s="82"/>
      <c r="G333" s="30"/>
      <c r="H333" s="30"/>
      <c r="I333" s="30"/>
      <c r="J333" s="30"/>
      <c r="K333" s="30"/>
    </row>
    <row r="334" spans="1:11" ht="13.2">
      <c r="A334" s="82"/>
      <c r="B334" s="82"/>
      <c r="C334" s="117"/>
      <c r="E334" s="118"/>
      <c r="F334" s="82"/>
      <c r="G334" s="30"/>
      <c r="H334" s="30"/>
      <c r="I334" s="30"/>
      <c r="J334" s="30"/>
      <c r="K334" s="30"/>
    </row>
    <row r="335" spans="1:11" ht="13.2">
      <c r="A335" s="82"/>
      <c r="B335" s="82"/>
      <c r="C335" s="117"/>
      <c r="E335" s="118"/>
      <c r="F335" s="82"/>
      <c r="G335" s="30"/>
      <c r="H335" s="30"/>
      <c r="I335" s="30"/>
      <c r="J335" s="30"/>
      <c r="K335" s="30"/>
    </row>
    <row r="336" spans="1:11" ht="13.2">
      <c r="A336" s="82"/>
      <c r="B336" s="82"/>
      <c r="C336" s="117"/>
      <c r="E336" s="118"/>
      <c r="F336" s="82"/>
      <c r="G336" s="30"/>
      <c r="H336" s="30"/>
      <c r="I336" s="30"/>
      <c r="J336" s="30"/>
      <c r="K336" s="30"/>
    </row>
    <row r="337" spans="1:11" ht="13.2">
      <c r="A337" s="82"/>
      <c r="B337" s="82"/>
      <c r="C337" s="117"/>
      <c r="E337" s="118"/>
      <c r="F337" s="82"/>
      <c r="G337" s="30"/>
      <c r="H337" s="30"/>
      <c r="I337" s="30"/>
      <c r="J337" s="30"/>
      <c r="K337" s="30"/>
    </row>
    <row r="338" spans="1:11" ht="13.2">
      <c r="A338" s="82"/>
      <c r="B338" s="82"/>
      <c r="C338" s="117"/>
      <c r="E338" s="118"/>
      <c r="F338" s="82"/>
      <c r="G338" s="30"/>
      <c r="H338" s="30"/>
      <c r="I338" s="30"/>
      <c r="J338" s="30"/>
      <c r="K338" s="30"/>
    </row>
    <row r="339" spans="1:11" ht="13.2">
      <c r="A339" s="82"/>
      <c r="B339" s="82"/>
      <c r="C339" s="117"/>
      <c r="E339" s="118"/>
      <c r="F339" s="82"/>
      <c r="G339" s="30"/>
      <c r="H339" s="30"/>
      <c r="I339" s="30"/>
      <c r="J339" s="30"/>
      <c r="K339" s="30"/>
    </row>
    <row r="340" spans="1:11" ht="13.2">
      <c r="A340" s="82"/>
      <c r="B340" s="82"/>
      <c r="C340" s="117"/>
      <c r="E340" s="118"/>
      <c r="F340" s="82"/>
      <c r="G340" s="30"/>
      <c r="H340" s="30"/>
      <c r="I340" s="30"/>
      <c r="J340" s="30"/>
      <c r="K340" s="30"/>
    </row>
    <row r="341" spans="1:11" ht="13.2">
      <c r="A341" s="82"/>
      <c r="B341" s="82"/>
      <c r="C341" s="117"/>
      <c r="E341" s="118"/>
      <c r="F341" s="82"/>
      <c r="G341" s="30"/>
      <c r="H341" s="30"/>
      <c r="I341" s="30"/>
      <c r="J341" s="30"/>
      <c r="K341" s="30"/>
    </row>
    <row r="342" spans="1:11" ht="13.2">
      <c r="A342" s="82"/>
      <c r="B342" s="82"/>
      <c r="C342" s="117"/>
      <c r="E342" s="118"/>
      <c r="F342" s="82"/>
      <c r="G342" s="30"/>
      <c r="H342" s="30"/>
      <c r="I342" s="30"/>
      <c r="J342" s="30"/>
      <c r="K342" s="30"/>
    </row>
    <row r="343" spans="1:11" ht="13.2">
      <c r="A343" s="82"/>
      <c r="B343" s="82"/>
      <c r="C343" s="117"/>
      <c r="E343" s="118"/>
      <c r="F343" s="82"/>
      <c r="G343" s="30"/>
      <c r="H343" s="30"/>
      <c r="I343" s="30"/>
      <c r="J343" s="30"/>
      <c r="K343" s="30"/>
    </row>
    <row r="344" spans="1:11" ht="13.2">
      <c r="A344" s="82"/>
      <c r="B344" s="82"/>
      <c r="C344" s="117"/>
      <c r="E344" s="118"/>
      <c r="F344" s="82"/>
      <c r="G344" s="30"/>
      <c r="H344" s="30"/>
      <c r="I344" s="30"/>
      <c r="J344" s="30"/>
      <c r="K344" s="30"/>
    </row>
    <row r="345" spans="1:11" ht="13.2">
      <c r="A345" s="82"/>
      <c r="B345" s="82"/>
      <c r="C345" s="117"/>
      <c r="E345" s="118"/>
      <c r="F345" s="82"/>
      <c r="G345" s="30"/>
      <c r="H345" s="30"/>
      <c r="I345" s="30"/>
      <c r="J345" s="30"/>
      <c r="K345" s="30"/>
    </row>
    <row r="346" spans="1:11" ht="13.2">
      <c r="A346" s="82"/>
      <c r="B346" s="82"/>
      <c r="C346" s="117"/>
      <c r="E346" s="118"/>
      <c r="F346" s="82"/>
      <c r="G346" s="30"/>
      <c r="H346" s="30"/>
      <c r="I346" s="30"/>
      <c r="J346" s="30"/>
      <c r="K346" s="30"/>
    </row>
    <row r="347" spans="1:11" ht="13.2">
      <c r="A347" s="82"/>
      <c r="B347" s="82"/>
      <c r="C347" s="117"/>
      <c r="E347" s="118"/>
      <c r="F347" s="82"/>
      <c r="G347" s="30"/>
      <c r="H347" s="30"/>
      <c r="I347" s="30"/>
      <c r="J347" s="30"/>
      <c r="K347" s="30"/>
    </row>
    <row r="348" spans="1:11" ht="13.2">
      <c r="A348" s="82"/>
      <c r="B348" s="82"/>
      <c r="C348" s="117"/>
      <c r="E348" s="118"/>
      <c r="F348" s="82"/>
      <c r="G348" s="30"/>
      <c r="H348" s="30"/>
      <c r="I348" s="30"/>
      <c r="J348" s="30"/>
      <c r="K348" s="30"/>
    </row>
    <row r="349" spans="1:11" ht="13.2">
      <c r="A349" s="82"/>
      <c r="B349" s="82"/>
      <c r="C349" s="117"/>
      <c r="E349" s="118"/>
      <c r="F349" s="82"/>
      <c r="G349" s="30"/>
      <c r="H349" s="30"/>
      <c r="I349" s="30"/>
      <c r="J349" s="30"/>
      <c r="K349" s="30"/>
    </row>
    <row r="350" spans="1:11" ht="13.2">
      <c r="A350" s="82"/>
      <c r="B350" s="82"/>
      <c r="C350" s="117"/>
      <c r="E350" s="118"/>
      <c r="F350" s="82"/>
      <c r="G350" s="30"/>
      <c r="H350" s="30"/>
      <c r="I350" s="30"/>
      <c r="J350" s="30"/>
      <c r="K350" s="30"/>
    </row>
    <row r="351" spans="1:11" ht="13.2">
      <c r="A351" s="82"/>
      <c r="B351" s="82"/>
      <c r="C351" s="117"/>
      <c r="E351" s="118"/>
      <c r="F351" s="82"/>
      <c r="G351" s="30"/>
      <c r="H351" s="30"/>
      <c r="I351" s="30"/>
      <c r="J351" s="30"/>
      <c r="K351" s="30"/>
    </row>
    <row r="352" spans="1:11" ht="13.2">
      <c r="A352" s="82"/>
      <c r="B352" s="82"/>
      <c r="C352" s="117"/>
      <c r="E352" s="118"/>
      <c r="F352" s="82"/>
      <c r="G352" s="30"/>
      <c r="H352" s="30"/>
      <c r="I352" s="30"/>
      <c r="J352" s="30"/>
      <c r="K352" s="30"/>
    </row>
    <row r="353" spans="1:11" ht="13.2">
      <c r="A353" s="82"/>
      <c r="B353" s="82"/>
      <c r="C353" s="117"/>
      <c r="E353" s="118"/>
      <c r="F353" s="82"/>
      <c r="G353" s="30"/>
      <c r="H353" s="30"/>
      <c r="I353" s="30"/>
      <c r="J353" s="30"/>
      <c r="K353" s="30"/>
    </row>
    <row r="354" spans="1:11" ht="13.2">
      <c r="A354" s="82"/>
      <c r="B354" s="82"/>
      <c r="C354" s="117"/>
      <c r="E354" s="118"/>
      <c r="F354" s="82"/>
      <c r="G354" s="30"/>
      <c r="H354" s="30"/>
      <c r="I354" s="30"/>
      <c r="J354" s="30"/>
      <c r="K354" s="30"/>
    </row>
    <row r="355" spans="1:11" ht="13.2">
      <c r="A355" s="82"/>
      <c r="B355" s="82"/>
      <c r="C355" s="117"/>
      <c r="E355" s="118"/>
      <c r="F355" s="82"/>
      <c r="G355" s="30"/>
      <c r="H355" s="30"/>
      <c r="I355" s="30"/>
      <c r="J355" s="30"/>
      <c r="K355" s="30"/>
    </row>
    <row r="356" spans="1:11" ht="13.2">
      <c r="A356" s="82"/>
      <c r="B356" s="82"/>
      <c r="C356" s="117"/>
      <c r="E356" s="118"/>
      <c r="F356" s="82"/>
      <c r="G356" s="30"/>
      <c r="H356" s="30"/>
      <c r="I356" s="30"/>
      <c r="J356" s="30"/>
      <c r="K356" s="30"/>
    </row>
    <row r="357" spans="1:11" ht="13.2">
      <c r="A357" s="82"/>
      <c r="B357" s="82"/>
      <c r="C357" s="117"/>
      <c r="E357" s="118"/>
      <c r="F357" s="82"/>
      <c r="G357" s="30"/>
      <c r="H357" s="30"/>
      <c r="I357" s="30"/>
      <c r="J357" s="30"/>
      <c r="K357" s="30"/>
    </row>
    <row r="358" spans="1:11" ht="13.2">
      <c r="A358" s="82"/>
      <c r="B358" s="82"/>
      <c r="C358" s="117"/>
      <c r="E358" s="118"/>
      <c r="F358" s="82"/>
      <c r="G358" s="30"/>
      <c r="H358" s="30"/>
      <c r="I358" s="30"/>
      <c r="J358" s="30"/>
      <c r="K358" s="30"/>
    </row>
    <row r="359" spans="1:11" ht="13.2">
      <c r="A359" s="82"/>
      <c r="B359" s="82"/>
      <c r="C359" s="117"/>
      <c r="E359" s="118"/>
      <c r="F359" s="82"/>
      <c r="G359" s="30"/>
      <c r="H359" s="30"/>
      <c r="I359" s="30"/>
      <c r="J359" s="30"/>
      <c r="K359" s="30"/>
    </row>
    <row r="360" spans="1:11" ht="13.2">
      <c r="A360" s="82"/>
      <c r="B360" s="82"/>
      <c r="C360" s="117"/>
      <c r="E360" s="118"/>
      <c r="F360" s="82"/>
      <c r="G360" s="30"/>
      <c r="H360" s="30"/>
      <c r="I360" s="30"/>
      <c r="J360" s="30"/>
      <c r="K360" s="30"/>
    </row>
    <row r="361" spans="1:11" ht="13.2">
      <c r="A361" s="82"/>
      <c r="B361" s="82"/>
      <c r="C361" s="117"/>
      <c r="E361" s="118"/>
      <c r="F361" s="82"/>
      <c r="G361" s="30"/>
      <c r="H361" s="30"/>
      <c r="I361" s="30"/>
      <c r="J361" s="30"/>
      <c r="K361" s="30"/>
    </row>
    <row r="362" spans="1:11" ht="13.2">
      <c r="A362" s="82"/>
      <c r="B362" s="82"/>
      <c r="C362" s="117"/>
      <c r="E362" s="118"/>
      <c r="F362" s="82"/>
      <c r="G362" s="30"/>
      <c r="H362" s="30"/>
      <c r="I362" s="30"/>
      <c r="J362" s="30"/>
      <c r="K362" s="30"/>
    </row>
    <row r="363" spans="1:11" ht="13.2">
      <c r="A363" s="82"/>
      <c r="B363" s="82"/>
      <c r="C363" s="117"/>
      <c r="E363" s="118"/>
      <c r="F363" s="82"/>
      <c r="G363" s="30"/>
      <c r="H363" s="30"/>
      <c r="I363" s="30"/>
      <c r="J363" s="30"/>
      <c r="K363" s="30"/>
    </row>
    <row r="364" spans="1:11" ht="13.2">
      <c r="A364" s="82"/>
      <c r="B364" s="82"/>
      <c r="C364" s="117"/>
      <c r="E364" s="118"/>
      <c r="F364" s="82"/>
      <c r="G364" s="30"/>
      <c r="H364" s="30"/>
      <c r="I364" s="30"/>
      <c r="J364" s="30"/>
      <c r="K364" s="30"/>
    </row>
    <row r="365" spans="1:11" ht="13.2">
      <c r="A365" s="82"/>
      <c r="B365" s="82"/>
      <c r="C365" s="117"/>
      <c r="E365" s="118"/>
      <c r="F365" s="82"/>
      <c r="G365" s="30"/>
      <c r="H365" s="30"/>
      <c r="I365" s="30"/>
      <c r="J365" s="30"/>
      <c r="K365" s="30"/>
    </row>
    <row r="366" spans="1:11" ht="13.2">
      <c r="A366" s="82"/>
      <c r="B366" s="82"/>
      <c r="C366" s="117"/>
      <c r="E366" s="118"/>
      <c r="F366" s="82"/>
      <c r="G366" s="30"/>
      <c r="H366" s="30"/>
      <c r="I366" s="30"/>
      <c r="J366" s="30"/>
      <c r="K366" s="30"/>
    </row>
    <row r="367" spans="1:11" ht="13.2">
      <c r="A367" s="82"/>
      <c r="B367" s="82"/>
      <c r="C367" s="117"/>
      <c r="E367" s="118"/>
      <c r="F367" s="82"/>
      <c r="G367" s="30"/>
      <c r="H367" s="30"/>
      <c r="I367" s="30"/>
      <c r="J367" s="30"/>
      <c r="K367" s="30"/>
    </row>
    <row r="368" spans="1:11" ht="13.2">
      <c r="A368" s="82"/>
      <c r="B368" s="82"/>
      <c r="C368" s="117"/>
      <c r="E368" s="118"/>
      <c r="F368" s="82"/>
      <c r="G368" s="30"/>
      <c r="H368" s="30"/>
      <c r="I368" s="30"/>
      <c r="J368" s="30"/>
      <c r="K368" s="30"/>
    </row>
    <row r="369" spans="1:11" ht="13.2">
      <c r="A369" s="82"/>
      <c r="B369" s="82"/>
      <c r="C369" s="117"/>
      <c r="E369" s="118"/>
      <c r="F369" s="82"/>
      <c r="G369" s="30"/>
      <c r="H369" s="30"/>
      <c r="I369" s="30"/>
      <c r="J369" s="30"/>
      <c r="K369" s="30"/>
    </row>
    <row r="370" spans="1:11" ht="13.2">
      <c r="A370" s="82"/>
      <c r="B370" s="82"/>
      <c r="C370" s="117"/>
      <c r="E370" s="118"/>
      <c r="F370" s="82"/>
      <c r="G370" s="30"/>
      <c r="H370" s="30"/>
      <c r="I370" s="30"/>
      <c r="J370" s="30"/>
      <c r="K370" s="30"/>
    </row>
    <row r="371" spans="1:11" ht="13.2">
      <c r="A371" s="82"/>
      <c r="B371" s="82"/>
      <c r="C371" s="117"/>
      <c r="E371" s="118"/>
      <c r="F371" s="82"/>
      <c r="G371" s="30"/>
      <c r="H371" s="30"/>
      <c r="I371" s="30"/>
      <c r="J371" s="30"/>
      <c r="K371" s="30"/>
    </row>
    <row r="372" spans="1:11" ht="13.2">
      <c r="A372" s="82"/>
      <c r="B372" s="82"/>
      <c r="C372" s="117"/>
      <c r="E372" s="118"/>
      <c r="F372" s="82"/>
      <c r="G372" s="30"/>
      <c r="H372" s="30"/>
      <c r="I372" s="30"/>
      <c r="J372" s="30"/>
      <c r="K372" s="30"/>
    </row>
    <row r="373" spans="1:11" ht="13.2">
      <c r="A373" s="82"/>
      <c r="B373" s="82"/>
      <c r="C373" s="117"/>
      <c r="E373" s="118"/>
      <c r="F373" s="82"/>
      <c r="G373" s="30"/>
      <c r="H373" s="30"/>
      <c r="I373" s="30"/>
      <c r="J373" s="30"/>
      <c r="K373" s="30"/>
    </row>
    <row r="374" spans="1:11" ht="13.2">
      <c r="A374" s="82"/>
      <c r="B374" s="82"/>
      <c r="C374" s="117"/>
      <c r="E374" s="118"/>
      <c r="F374" s="82"/>
      <c r="G374" s="30"/>
      <c r="H374" s="30"/>
      <c r="I374" s="30"/>
      <c r="J374" s="30"/>
      <c r="K374" s="30"/>
    </row>
    <row r="375" spans="1:11" ht="13.2">
      <c r="A375" s="82"/>
      <c r="B375" s="82"/>
      <c r="C375" s="117"/>
      <c r="E375" s="118"/>
      <c r="F375" s="82"/>
      <c r="G375" s="30"/>
      <c r="H375" s="30"/>
      <c r="I375" s="30"/>
      <c r="J375" s="30"/>
      <c r="K375" s="30"/>
    </row>
    <row r="376" spans="1:11" ht="13.2">
      <c r="A376" s="82"/>
      <c r="B376" s="82"/>
      <c r="C376" s="117"/>
      <c r="E376" s="118"/>
      <c r="F376" s="82"/>
      <c r="G376" s="30"/>
      <c r="H376" s="30"/>
      <c r="I376" s="30"/>
      <c r="J376" s="30"/>
      <c r="K376" s="30"/>
    </row>
    <row r="377" spans="1:11" ht="13.2">
      <c r="A377" s="82"/>
      <c r="B377" s="82"/>
      <c r="C377" s="117"/>
      <c r="E377" s="118"/>
      <c r="F377" s="82"/>
      <c r="G377" s="30"/>
      <c r="H377" s="30"/>
      <c r="I377" s="30"/>
      <c r="J377" s="30"/>
      <c r="K377" s="30"/>
    </row>
    <row r="378" spans="1:11" ht="13.2">
      <c r="A378" s="82"/>
      <c r="B378" s="82"/>
      <c r="C378" s="117"/>
      <c r="E378" s="118"/>
      <c r="F378" s="82"/>
      <c r="G378" s="30"/>
      <c r="H378" s="30"/>
      <c r="I378" s="30"/>
      <c r="J378" s="30"/>
      <c r="K378" s="30"/>
    </row>
    <row r="379" spans="1:11" ht="13.2">
      <c r="A379" s="82"/>
      <c r="B379" s="82"/>
      <c r="C379" s="117"/>
      <c r="E379" s="118"/>
      <c r="F379" s="82"/>
      <c r="G379" s="30"/>
      <c r="H379" s="30"/>
      <c r="I379" s="30"/>
      <c r="J379" s="30"/>
      <c r="K379" s="30"/>
    </row>
    <row r="380" spans="1:11" ht="13.2">
      <c r="A380" s="82"/>
      <c r="B380" s="82"/>
      <c r="C380" s="117"/>
      <c r="E380" s="118"/>
      <c r="F380" s="82"/>
      <c r="G380" s="30"/>
      <c r="H380" s="30"/>
      <c r="I380" s="30"/>
      <c r="J380" s="30"/>
      <c r="K380" s="30"/>
    </row>
    <row r="381" spans="1:11" ht="13.2">
      <c r="A381" s="82"/>
      <c r="B381" s="82"/>
      <c r="C381" s="117"/>
      <c r="E381" s="118"/>
      <c r="F381" s="82"/>
      <c r="G381" s="30"/>
      <c r="H381" s="30"/>
      <c r="I381" s="30"/>
      <c r="J381" s="30"/>
      <c r="K381" s="30"/>
    </row>
    <row r="382" spans="1:11" ht="13.2">
      <c r="A382" s="82"/>
      <c r="B382" s="82"/>
      <c r="C382" s="117"/>
      <c r="E382" s="118"/>
      <c r="F382" s="82"/>
      <c r="G382" s="30"/>
      <c r="H382" s="30"/>
      <c r="I382" s="30"/>
      <c r="J382" s="30"/>
      <c r="K382" s="30"/>
    </row>
    <row r="383" spans="1:11" ht="13.2">
      <c r="A383" s="82"/>
      <c r="B383" s="82"/>
      <c r="C383" s="117"/>
      <c r="E383" s="118"/>
      <c r="F383" s="82"/>
      <c r="G383" s="30"/>
      <c r="H383" s="30"/>
      <c r="I383" s="30"/>
      <c r="J383" s="30"/>
      <c r="K383" s="30"/>
    </row>
    <row r="384" spans="1:11" ht="13.2">
      <c r="A384" s="82"/>
      <c r="B384" s="82"/>
      <c r="C384" s="117"/>
      <c r="E384" s="118"/>
      <c r="F384" s="82"/>
      <c r="G384" s="30"/>
      <c r="H384" s="30"/>
      <c r="I384" s="30"/>
      <c r="J384" s="30"/>
      <c r="K384" s="30"/>
    </row>
    <row r="385" spans="1:11" ht="13.2">
      <c r="A385" s="82"/>
      <c r="B385" s="82"/>
      <c r="C385" s="117"/>
      <c r="E385" s="118"/>
      <c r="F385" s="82"/>
      <c r="G385" s="30"/>
      <c r="H385" s="30"/>
      <c r="I385" s="30"/>
      <c r="J385" s="30"/>
      <c r="K385" s="30"/>
    </row>
    <row r="386" spans="1:11" ht="13.2">
      <c r="A386" s="82"/>
      <c r="B386" s="82"/>
      <c r="C386" s="117"/>
      <c r="E386" s="118"/>
      <c r="F386" s="82"/>
      <c r="G386" s="30"/>
      <c r="H386" s="30"/>
      <c r="I386" s="30"/>
      <c r="J386" s="30"/>
      <c r="K386" s="30"/>
    </row>
    <row r="387" spans="1:11" ht="13.2">
      <c r="A387" s="82"/>
      <c r="B387" s="82"/>
      <c r="C387" s="117"/>
      <c r="E387" s="118"/>
      <c r="F387" s="82"/>
      <c r="G387" s="30"/>
      <c r="H387" s="30"/>
      <c r="I387" s="30"/>
      <c r="J387" s="30"/>
      <c r="K387" s="30"/>
    </row>
    <row r="388" spans="1:11" ht="13.2">
      <c r="A388" s="82"/>
      <c r="B388" s="82"/>
      <c r="C388" s="117"/>
      <c r="E388" s="118"/>
      <c r="F388" s="82"/>
      <c r="G388" s="30"/>
      <c r="H388" s="30"/>
      <c r="I388" s="30"/>
      <c r="J388" s="30"/>
      <c r="K388" s="30"/>
    </row>
    <row r="389" spans="1:11" ht="13.2">
      <c r="A389" s="82"/>
      <c r="B389" s="82"/>
      <c r="C389" s="117"/>
      <c r="E389" s="118"/>
      <c r="F389" s="82"/>
      <c r="G389" s="30"/>
      <c r="H389" s="30"/>
      <c r="I389" s="30"/>
      <c r="J389" s="30"/>
      <c r="K389" s="30"/>
    </row>
    <row r="390" spans="1:11" ht="13.2">
      <c r="A390" s="82"/>
      <c r="B390" s="82"/>
      <c r="C390" s="117"/>
      <c r="E390" s="118"/>
      <c r="F390" s="82"/>
      <c r="G390" s="30"/>
      <c r="H390" s="30"/>
      <c r="I390" s="30"/>
      <c r="J390" s="30"/>
      <c r="K390" s="30"/>
    </row>
    <row r="391" spans="1:11" ht="13.2">
      <c r="A391" s="82"/>
      <c r="B391" s="82"/>
      <c r="C391" s="117"/>
      <c r="E391" s="118"/>
      <c r="F391" s="82"/>
      <c r="G391" s="30"/>
      <c r="H391" s="30"/>
      <c r="I391" s="30"/>
      <c r="J391" s="30"/>
      <c r="K391" s="30"/>
    </row>
    <row r="392" spans="1:11" ht="13.2">
      <c r="A392" s="82"/>
      <c r="B392" s="82"/>
      <c r="C392" s="117"/>
      <c r="E392" s="118"/>
      <c r="F392" s="82"/>
      <c r="G392" s="30"/>
      <c r="H392" s="30"/>
      <c r="I392" s="30"/>
      <c r="J392" s="30"/>
      <c r="K392" s="30"/>
    </row>
    <row r="393" spans="1:11" ht="13.2">
      <c r="A393" s="82"/>
      <c r="B393" s="82"/>
      <c r="C393" s="117"/>
      <c r="E393" s="118"/>
      <c r="F393" s="82"/>
      <c r="G393" s="30"/>
      <c r="H393" s="30"/>
      <c r="I393" s="30"/>
      <c r="J393" s="30"/>
      <c r="K393" s="30"/>
    </row>
    <row r="394" spans="1:11" ht="13.2">
      <c r="A394" s="82"/>
      <c r="B394" s="82"/>
      <c r="C394" s="117"/>
      <c r="E394" s="118"/>
      <c r="F394" s="82"/>
      <c r="G394" s="30"/>
      <c r="H394" s="30"/>
      <c r="I394" s="30"/>
      <c r="J394" s="30"/>
      <c r="K394" s="30"/>
    </row>
    <row r="395" spans="1:11" ht="13.2">
      <c r="A395" s="82"/>
      <c r="B395" s="82"/>
      <c r="C395" s="117"/>
      <c r="E395" s="118"/>
      <c r="F395" s="82"/>
      <c r="G395" s="30"/>
      <c r="H395" s="30"/>
      <c r="I395" s="30"/>
      <c r="J395" s="30"/>
      <c r="K395" s="30"/>
    </row>
    <row r="396" spans="1:11" ht="13.2">
      <c r="A396" s="82"/>
      <c r="B396" s="82"/>
      <c r="C396" s="117"/>
      <c r="E396" s="118"/>
      <c r="F396" s="82"/>
      <c r="G396" s="30"/>
      <c r="H396" s="30"/>
      <c r="I396" s="30"/>
      <c r="J396" s="30"/>
      <c r="K396" s="30"/>
    </row>
    <row r="397" spans="1:11" ht="13.2">
      <c r="A397" s="82"/>
      <c r="B397" s="82"/>
      <c r="C397" s="117"/>
      <c r="E397" s="118"/>
      <c r="F397" s="82"/>
      <c r="G397" s="30"/>
      <c r="H397" s="30"/>
      <c r="I397" s="30"/>
      <c r="J397" s="30"/>
      <c r="K397" s="30"/>
    </row>
    <row r="398" spans="1:11" ht="13.2">
      <c r="A398" s="82"/>
      <c r="B398" s="82"/>
      <c r="C398" s="117"/>
      <c r="E398" s="118"/>
      <c r="F398" s="82"/>
      <c r="G398" s="30"/>
      <c r="H398" s="30"/>
      <c r="I398" s="30"/>
      <c r="J398" s="30"/>
      <c r="K398" s="30"/>
    </row>
    <row r="399" spans="1:11" ht="13.2">
      <c r="A399" s="82"/>
      <c r="B399" s="82"/>
      <c r="C399" s="117"/>
      <c r="E399" s="118"/>
      <c r="F399" s="82"/>
      <c r="G399" s="30"/>
      <c r="H399" s="30"/>
      <c r="I399" s="30"/>
      <c r="J399" s="30"/>
      <c r="K399" s="30"/>
    </row>
    <row r="400" spans="1:11" ht="13.2">
      <c r="A400" s="82"/>
      <c r="B400" s="82"/>
      <c r="C400" s="117"/>
      <c r="E400" s="118"/>
      <c r="F400" s="82"/>
      <c r="G400" s="30"/>
      <c r="H400" s="30"/>
      <c r="I400" s="30"/>
      <c r="J400" s="30"/>
      <c r="K400" s="30"/>
    </row>
    <row r="401" spans="1:11" ht="13.2">
      <c r="A401" s="82"/>
      <c r="B401" s="82"/>
      <c r="C401" s="117"/>
      <c r="E401" s="118"/>
      <c r="F401" s="82"/>
      <c r="G401" s="30"/>
      <c r="H401" s="30"/>
      <c r="I401" s="30"/>
      <c r="J401" s="30"/>
      <c r="K401" s="30"/>
    </row>
    <row r="402" spans="1:11" ht="13.2">
      <c r="A402" s="82"/>
      <c r="B402" s="82"/>
      <c r="C402" s="117"/>
      <c r="E402" s="118"/>
      <c r="F402" s="82"/>
      <c r="G402" s="30"/>
      <c r="H402" s="30"/>
      <c r="I402" s="30"/>
      <c r="J402" s="30"/>
      <c r="K402" s="30"/>
    </row>
    <row r="403" spans="1:11" ht="13.2">
      <c r="A403" s="82"/>
      <c r="B403" s="82"/>
      <c r="C403" s="117"/>
      <c r="E403" s="118"/>
      <c r="F403" s="82"/>
      <c r="G403" s="30"/>
      <c r="H403" s="30"/>
      <c r="I403" s="30"/>
      <c r="J403" s="30"/>
      <c r="K403" s="30"/>
    </row>
    <row r="404" spans="1:11" ht="13.2">
      <c r="A404" s="82"/>
      <c r="B404" s="82"/>
      <c r="C404" s="117"/>
      <c r="E404" s="118"/>
      <c r="F404" s="82"/>
      <c r="G404" s="30"/>
      <c r="H404" s="30"/>
      <c r="I404" s="30"/>
      <c r="J404" s="30"/>
      <c r="K404" s="30"/>
    </row>
    <row r="405" spans="1:11" ht="13.2">
      <c r="A405" s="82"/>
      <c r="B405" s="82"/>
      <c r="C405" s="117"/>
      <c r="E405" s="118"/>
      <c r="F405" s="82"/>
      <c r="G405" s="30"/>
      <c r="H405" s="30"/>
      <c r="I405" s="30"/>
      <c r="J405" s="30"/>
      <c r="K405" s="30"/>
    </row>
    <row r="406" spans="1:11" ht="13.2">
      <c r="A406" s="82"/>
      <c r="B406" s="82"/>
      <c r="C406" s="117"/>
      <c r="E406" s="118"/>
      <c r="F406" s="82"/>
      <c r="G406" s="30"/>
      <c r="H406" s="30"/>
      <c r="I406" s="30"/>
      <c r="J406" s="30"/>
      <c r="K406" s="30"/>
    </row>
    <row r="407" spans="1:11" ht="13.2">
      <c r="A407" s="82"/>
      <c r="B407" s="82"/>
      <c r="C407" s="117"/>
      <c r="E407" s="118"/>
      <c r="F407" s="82"/>
      <c r="G407" s="30"/>
      <c r="H407" s="30"/>
      <c r="I407" s="30"/>
      <c r="J407" s="30"/>
      <c r="K407" s="30"/>
    </row>
    <row r="408" spans="1:11" ht="13.2">
      <c r="A408" s="82"/>
      <c r="B408" s="82"/>
      <c r="C408" s="117"/>
      <c r="E408" s="118"/>
      <c r="F408" s="82"/>
      <c r="G408" s="30"/>
      <c r="H408" s="30"/>
      <c r="I408" s="30"/>
      <c r="J408" s="30"/>
      <c r="K408" s="30"/>
    </row>
    <row r="409" spans="1:11" ht="13.2">
      <c r="A409" s="82"/>
      <c r="B409" s="82"/>
      <c r="C409" s="117"/>
      <c r="E409" s="118"/>
      <c r="F409" s="82"/>
      <c r="G409" s="30"/>
      <c r="H409" s="30"/>
      <c r="I409" s="30"/>
      <c r="J409" s="30"/>
      <c r="K409" s="30"/>
    </row>
    <row r="410" spans="1:11" ht="13.2">
      <c r="A410" s="82"/>
      <c r="B410" s="82"/>
      <c r="C410" s="117"/>
      <c r="E410" s="118"/>
      <c r="F410" s="82"/>
      <c r="G410" s="30"/>
      <c r="H410" s="30"/>
      <c r="I410" s="30"/>
      <c r="J410" s="30"/>
      <c r="K410" s="30"/>
    </row>
    <row r="411" spans="1:11" ht="13.2">
      <c r="A411" s="82"/>
      <c r="B411" s="82"/>
      <c r="C411" s="117"/>
      <c r="E411" s="118"/>
      <c r="F411" s="82"/>
      <c r="G411" s="30"/>
      <c r="H411" s="30"/>
      <c r="I411" s="30"/>
      <c r="J411" s="30"/>
      <c r="K411" s="30"/>
    </row>
    <row r="412" spans="1:11" ht="13.2">
      <c r="A412" s="82"/>
      <c r="B412" s="82"/>
      <c r="C412" s="117"/>
      <c r="E412" s="118"/>
      <c r="F412" s="82"/>
      <c r="G412" s="30"/>
      <c r="H412" s="30"/>
      <c r="I412" s="30"/>
      <c r="J412" s="30"/>
      <c r="K412" s="30"/>
    </row>
    <row r="413" spans="1:11" ht="13.2">
      <c r="A413" s="82"/>
      <c r="B413" s="82"/>
      <c r="C413" s="117"/>
      <c r="E413" s="118"/>
      <c r="F413" s="82"/>
      <c r="G413" s="30"/>
      <c r="H413" s="30"/>
      <c r="I413" s="30"/>
      <c r="J413" s="30"/>
      <c r="K413" s="30"/>
    </row>
    <row r="414" spans="1:11" ht="13.2">
      <c r="A414" s="82"/>
      <c r="B414" s="82"/>
      <c r="C414" s="117"/>
      <c r="E414" s="118"/>
      <c r="F414" s="82"/>
      <c r="G414" s="30"/>
      <c r="H414" s="30"/>
      <c r="I414" s="30"/>
      <c r="J414" s="30"/>
      <c r="K414" s="30"/>
    </row>
    <row r="415" spans="1:11" ht="13.2">
      <c r="A415" s="82"/>
      <c r="B415" s="82"/>
      <c r="C415" s="117"/>
      <c r="E415" s="118"/>
      <c r="F415" s="82"/>
      <c r="G415" s="30"/>
      <c r="H415" s="30"/>
      <c r="I415" s="30"/>
      <c r="J415" s="30"/>
      <c r="K415" s="30"/>
    </row>
    <row r="416" spans="1:11" ht="13.2">
      <c r="A416" s="82"/>
      <c r="B416" s="82"/>
      <c r="C416" s="117"/>
      <c r="E416" s="118"/>
      <c r="F416" s="82"/>
      <c r="G416" s="30"/>
      <c r="H416" s="30"/>
      <c r="I416" s="30"/>
      <c r="J416" s="30"/>
      <c r="K416" s="30"/>
    </row>
    <row r="417" spans="1:11" ht="13.2">
      <c r="A417" s="82"/>
      <c r="B417" s="82"/>
      <c r="C417" s="117"/>
      <c r="E417" s="118"/>
      <c r="F417" s="82"/>
      <c r="G417" s="30"/>
      <c r="H417" s="30"/>
      <c r="I417" s="30"/>
      <c r="J417" s="30"/>
      <c r="K417" s="30"/>
    </row>
    <row r="418" spans="1:11" ht="13.2">
      <c r="A418" s="82"/>
      <c r="B418" s="82"/>
      <c r="C418" s="117"/>
      <c r="E418" s="118"/>
      <c r="F418" s="82"/>
      <c r="G418" s="30"/>
      <c r="H418" s="30"/>
      <c r="I418" s="30"/>
      <c r="J418" s="30"/>
      <c r="K418" s="30"/>
    </row>
    <row r="419" spans="1:11" ht="13.2">
      <c r="A419" s="82"/>
      <c r="B419" s="82"/>
      <c r="C419" s="117"/>
      <c r="E419" s="118"/>
      <c r="F419" s="82"/>
      <c r="G419" s="30"/>
      <c r="H419" s="30"/>
      <c r="I419" s="30"/>
      <c r="J419" s="30"/>
      <c r="K419" s="30"/>
    </row>
    <row r="420" spans="1:11" ht="13.2">
      <c r="A420" s="82"/>
      <c r="B420" s="82"/>
      <c r="C420" s="117"/>
      <c r="E420" s="118"/>
      <c r="F420" s="82"/>
      <c r="G420" s="30"/>
      <c r="H420" s="30"/>
      <c r="I420" s="30"/>
      <c r="J420" s="30"/>
      <c r="K420" s="30"/>
    </row>
    <row r="421" spans="1:11" ht="13.2">
      <c r="A421" s="82"/>
      <c r="B421" s="82"/>
      <c r="C421" s="117"/>
      <c r="E421" s="118"/>
      <c r="F421" s="82"/>
      <c r="G421" s="30"/>
      <c r="H421" s="30"/>
      <c r="I421" s="30"/>
      <c r="J421" s="30"/>
      <c r="K421" s="30"/>
    </row>
    <row r="422" spans="1:11" ht="13.2">
      <c r="A422" s="82"/>
      <c r="B422" s="82"/>
      <c r="C422" s="117"/>
      <c r="E422" s="118"/>
      <c r="F422" s="82"/>
      <c r="G422" s="30"/>
      <c r="H422" s="30"/>
      <c r="I422" s="30"/>
      <c r="J422" s="30"/>
      <c r="K422" s="30"/>
    </row>
    <row r="423" spans="1:11" ht="13.2">
      <c r="A423" s="82"/>
      <c r="B423" s="82"/>
      <c r="C423" s="117"/>
      <c r="E423" s="118"/>
      <c r="F423" s="82"/>
      <c r="G423" s="30"/>
      <c r="H423" s="30"/>
      <c r="I423" s="30"/>
      <c r="J423" s="30"/>
      <c r="K423" s="30"/>
    </row>
    <row r="424" spans="1:11" ht="13.2">
      <c r="A424" s="82"/>
      <c r="B424" s="82"/>
      <c r="C424" s="117"/>
      <c r="E424" s="118"/>
      <c r="F424" s="82"/>
      <c r="G424" s="30"/>
      <c r="H424" s="30"/>
      <c r="I424" s="30"/>
      <c r="J424" s="30"/>
      <c r="K424" s="30"/>
    </row>
    <row r="425" spans="1:11" ht="13.2">
      <c r="A425" s="82"/>
      <c r="B425" s="82"/>
      <c r="C425" s="117"/>
      <c r="E425" s="118"/>
      <c r="F425" s="82"/>
      <c r="G425" s="30"/>
      <c r="H425" s="30"/>
      <c r="I425" s="30"/>
      <c r="J425" s="30"/>
      <c r="K425" s="30"/>
    </row>
    <row r="426" spans="1:11" ht="13.2">
      <c r="A426" s="82"/>
      <c r="B426" s="82"/>
      <c r="C426" s="117"/>
      <c r="E426" s="118"/>
      <c r="F426" s="82"/>
      <c r="G426" s="30"/>
      <c r="H426" s="30"/>
      <c r="I426" s="30"/>
      <c r="J426" s="30"/>
      <c r="K426" s="30"/>
    </row>
    <row r="427" spans="1:11" ht="13.2">
      <c r="A427" s="82"/>
      <c r="B427" s="82"/>
      <c r="C427" s="117"/>
      <c r="E427" s="118"/>
      <c r="F427" s="82"/>
      <c r="G427" s="30"/>
      <c r="H427" s="30"/>
      <c r="I427" s="30"/>
      <c r="J427" s="30"/>
      <c r="K427" s="30"/>
    </row>
    <row r="428" spans="1:11" ht="13.2">
      <c r="A428" s="82"/>
      <c r="B428" s="82"/>
      <c r="C428" s="117"/>
      <c r="E428" s="118"/>
      <c r="F428" s="82"/>
      <c r="G428" s="30"/>
      <c r="H428" s="30"/>
      <c r="I428" s="30"/>
      <c r="J428" s="30"/>
      <c r="K428" s="30"/>
    </row>
    <row r="429" spans="1:11" ht="13.2">
      <c r="A429" s="82"/>
      <c r="B429" s="82"/>
      <c r="C429" s="117"/>
      <c r="E429" s="118"/>
      <c r="F429" s="82"/>
      <c r="G429" s="30"/>
      <c r="H429" s="30"/>
      <c r="I429" s="30"/>
      <c r="J429" s="30"/>
      <c r="K429" s="30"/>
    </row>
    <row r="430" spans="1:11" ht="13.2">
      <c r="A430" s="82"/>
      <c r="B430" s="82"/>
      <c r="C430" s="117"/>
      <c r="E430" s="118"/>
      <c r="F430" s="82"/>
      <c r="G430" s="30"/>
      <c r="H430" s="30"/>
      <c r="I430" s="30"/>
      <c r="J430" s="30"/>
      <c r="K430" s="30"/>
    </row>
    <row r="431" spans="1:11" ht="13.2">
      <c r="A431" s="82"/>
      <c r="B431" s="82"/>
      <c r="C431" s="117"/>
      <c r="E431" s="118"/>
      <c r="F431" s="82"/>
      <c r="G431" s="30"/>
      <c r="H431" s="30"/>
      <c r="I431" s="30"/>
      <c r="J431" s="30"/>
      <c r="K431" s="30"/>
    </row>
    <row r="432" spans="1:11" ht="13.2">
      <c r="A432" s="82"/>
      <c r="B432" s="82"/>
      <c r="C432" s="117"/>
      <c r="E432" s="118"/>
      <c r="F432" s="82"/>
      <c r="G432" s="30"/>
      <c r="H432" s="30"/>
      <c r="I432" s="30"/>
      <c r="J432" s="30"/>
      <c r="K432" s="30"/>
    </row>
    <row r="433" spans="1:11" ht="13.2">
      <c r="A433" s="82"/>
      <c r="B433" s="82"/>
      <c r="C433" s="117"/>
      <c r="E433" s="118"/>
      <c r="F433" s="82"/>
      <c r="G433" s="30"/>
      <c r="H433" s="30"/>
      <c r="I433" s="30"/>
      <c r="J433" s="30"/>
      <c r="K433" s="30"/>
    </row>
    <row r="434" spans="1:11" ht="13.2">
      <c r="A434" s="82"/>
      <c r="B434" s="82"/>
      <c r="C434" s="117"/>
      <c r="E434" s="118"/>
      <c r="F434" s="82"/>
      <c r="G434" s="30"/>
      <c r="H434" s="30"/>
      <c r="I434" s="30"/>
      <c r="J434" s="30"/>
      <c r="K434" s="30"/>
    </row>
    <row r="435" spans="1:11" ht="13.2">
      <c r="A435" s="82"/>
      <c r="B435" s="82"/>
      <c r="C435" s="117"/>
      <c r="E435" s="118"/>
      <c r="F435" s="82"/>
      <c r="G435" s="30"/>
      <c r="H435" s="30"/>
      <c r="I435" s="30"/>
      <c r="J435" s="30"/>
      <c r="K435" s="30"/>
    </row>
    <row r="436" spans="1:11" ht="13.2">
      <c r="A436" s="82"/>
      <c r="B436" s="82"/>
      <c r="C436" s="117"/>
      <c r="E436" s="118"/>
      <c r="F436" s="82"/>
      <c r="G436" s="30"/>
      <c r="H436" s="30"/>
      <c r="I436" s="30"/>
      <c r="J436" s="30"/>
      <c r="K436" s="30"/>
    </row>
    <row r="437" spans="1:11" ht="13.2">
      <c r="A437" s="82"/>
      <c r="B437" s="82"/>
      <c r="C437" s="117"/>
      <c r="E437" s="118"/>
      <c r="F437" s="82"/>
      <c r="G437" s="30"/>
      <c r="H437" s="30"/>
      <c r="I437" s="30"/>
      <c r="J437" s="30"/>
      <c r="K437" s="30"/>
    </row>
    <row r="438" spans="1:11" ht="13.2">
      <c r="A438" s="82"/>
      <c r="B438" s="82"/>
      <c r="C438" s="117"/>
      <c r="E438" s="118"/>
      <c r="F438" s="82"/>
      <c r="G438" s="30"/>
      <c r="H438" s="30"/>
      <c r="I438" s="30"/>
      <c r="J438" s="30"/>
      <c r="K438" s="30"/>
    </row>
    <row r="439" spans="1:11" ht="13.2">
      <c r="A439" s="82"/>
      <c r="B439" s="82"/>
      <c r="C439" s="117"/>
      <c r="E439" s="118"/>
      <c r="F439" s="82"/>
      <c r="G439" s="30"/>
      <c r="H439" s="30"/>
      <c r="I439" s="30"/>
      <c r="J439" s="30"/>
      <c r="K439" s="30"/>
    </row>
    <row r="440" spans="1:11" ht="13.2">
      <c r="A440" s="82"/>
      <c r="B440" s="82"/>
      <c r="C440" s="117"/>
      <c r="E440" s="118"/>
      <c r="F440" s="82"/>
      <c r="G440" s="30"/>
      <c r="H440" s="30"/>
      <c r="I440" s="30"/>
      <c r="J440" s="30"/>
      <c r="K440" s="30"/>
    </row>
    <row r="441" spans="1:11" ht="13.2">
      <c r="A441" s="82"/>
      <c r="B441" s="82"/>
      <c r="C441" s="117"/>
      <c r="E441" s="118"/>
      <c r="F441" s="82"/>
      <c r="G441" s="30"/>
      <c r="H441" s="30"/>
      <c r="I441" s="30"/>
      <c r="J441" s="30"/>
      <c r="K441" s="30"/>
    </row>
    <row r="442" spans="1:11" ht="13.2">
      <c r="A442" s="82"/>
      <c r="B442" s="82"/>
      <c r="C442" s="117"/>
      <c r="E442" s="118"/>
      <c r="F442" s="82"/>
      <c r="G442" s="30"/>
      <c r="H442" s="30"/>
      <c r="I442" s="30"/>
      <c r="J442" s="30"/>
      <c r="K442" s="30"/>
    </row>
    <row r="443" spans="1:11" ht="13.2">
      <c r="A443" s="82"/>
      <c r="B443" s="82"/>
      <c r="C443" s="117"/>
      <c r="E443" s="118"/>
      <c r="F443" s="82"/>
      <c r="G443" s="30"/>
      <c r="H443" s="30"/>
      <c r="I443" s="30"/>
      <c r="J443" s="30"/>
      <c r="K443" s="30"/>
    </row>
    <row r="444" spans="1:11" ht="13.2">
      <c r="A444" s="82"/>
      <c r="B444" s="82"/>
      <c r="C444" s="117"/>
      <c r="E444" s="118"/>
      <c r="F444" s="82"/>
      <c r="G444" s="30"/>
      <c r="H444" s="30"/>
      <c r="I444" s="30"/>
      <c r="J444" s="30"/>
      <c r="K444" s="30"/>
    </row>
    <row r="445" spans="1:11" ht="13.2">
      <c r="A445" s="82"/>
      <c r="B445" s="82"/>
      <c r="C445" s="117"/>
      <c r="E445" s="118"/>
      <c r="F445" s="82"/>
      <c r="G445" s="30"/>
      <c r="H445" s="30"/>
      <c r="I445" s="30"/>
      <c r="J445" s="30"/>
      <c r="K445" s="30"/>
    </row>
    <row r="446" spans="1:11" ht="13.2">
      <c r="A446" s="82"/>
      <c r="B446" s="82"/>
      <c r="C446" s="117"/>
      <c r="E446" s="118"/>
      <c r="F446" s="82"/>
      <c r="G446" s="30"/>
      <c r="H446" s="30"/>
      <c r="I446" s="30"/>
      <c r="J446" s="30"/>
      <c r="K446" s="30"/>
    </row>
    <row r="447" spans="1:11" ht="13.2">
      <c r="A447" s="82"/>
      <c r="B447" s="82"/>
      <c r="C447" s="117"/>
      <c r="E447" s="118"/>
      <c r="F447" s="82"/>
      <c r="G447" s="30"/>
      <c r="H447" s="30"/>
      <c r="I447" s="30"/>
      <c r="J447" s="30"/>
      <c r="K447" s="30"/>
    </row>
    <row r="448" spans="1:11" ht="13.2">
      <c r="A448" s="82"/>
      <c r="B448" s="82"/>
      <c r="C448" s="117"/>
      <c r="E448" s="118"/>
      <c r="F448" s="82"/>
      <c r="G448" s="30"/>
      <c r="H448" s="30"/>
      <c r="I448" s="30"/>
      <c r="J448" s="30"/>
      <c r="K448" s="30"/>
    </row>
    <row r="449" spans="1:11" ht="13.2">
      <c r="A449" s="82"/>
      <c r="B449" s="82"/>
      <c r="C449" s="117"/>
      <c r="E449" s="118"/>
      <c r="F449" s="82"/>
      <c r="G449" s="30"/>
      <c r="H449" s="30"/>
      <c r="I449" s="30"/>
      <c r="J449" s="30"/>
      <c r="K449" s="30"/>
    </row>
    <row r="450" spans="1:11" ht="13.2">
      <c r="A450" s="82"/>
      <c r="B450" s="82"/>
      <c r="C450" s="117"/>
      <c r="E450" s="118"/>
      <c r="F450" s="82"/>
      <c r="G450" s="30"/>
      <c r="H450" s="30"/>
      <c r="I450" s="30"/>
      <c r="J450" s="30"/>
      <c r="K450" s="30"/>
    </row>
    <row r="451" spans="1:11" ht="13.2">
      <c r="A451" s="82"/>
      <c r="B451" s="82"/>
      <c r="C451" s="117"/>
      <c r="E451" s="118"/>
      <c r="F451" s="82"/>
      <c r="G451" s="30"/>
      <c r="H451" s="30"/>
      <c r="I451" s="30"/>
      <c r="J451" s="30"/>
      <c r="K451" s="30"/>
    </row>
    <row r="452" spans="1:11" ht="13.2">
      <c r="A452" s="82"/>
      <c r="B452" s="82"/>
      <c r="C452" s="117"/>
      <c r="E452" s="118"/>
      <c r="F452" s="82"/>
      <c r="G452" s="30"/>
      <c r="H452" s="30"/>
      <c r="I452" s="30"/>
      <c r="J452" s="30"/>
      <c r="K452" s="30"/>
    </row>
    <row r="453" spans="1:11" ht="13.2">
      <c r="A453" s="82"/>
      <c r="B453" s="82"/>
      <c r="C453" s="117"/>
      <c r="E453" s="118"/>
      <c r="F453" s="82"/>
      <c r="G453" s="30"/>
      <c r="H453" s="30"/>
      <c r="I453" s="30"/>
      <c r="J453" s="30"/>
      <c r="K453" s="30"/>
    </row>
    <row r="454" spans="1:11" ht="13.2">
      <c r="A454" s="82"/>
      <c r="B454" s="82"/>
      <c r="C454" s="117"/>
      <c r="E454" s="118"/>
      <c r="F454" s="82"/>
      <c r="G454" s="30"/>
      <c r="H454" s="30"/>
      <c r="I454" s="30"/>
      <c r="J454" s="30"/>
      <c r="K454" s="30"/>
    </row>
    <row r="455" spans="1:11" ht="13.2">
      <c r="A455" s="82"/>
      <c r="B455" s="82"/>
      <c r="C455" s="117"/>
      <c r="E455" s="118"/>
      <c r="F455" s="82"/>
      <c r="G455" s="30"/>
      <c r="H455" s="30"/>
      <c r="I455" s="30"/>
      <c r="J455" s="30"/>
      <c r="K455" s="30"/>
    </row>
    <row r="456" spans="1:11" ht="13.2">
      <c r="A456" s="82"/>
      <c r="B456" s="82"/>
      <c r="C456" s="117"/>
      <c r="E456" s="118"/>
      <c r="F456" s="82"/>
      <c r="G456" s="30"/>
      <c r="H456" s="30"/>
      <c r="I456" s="30"/>
      <c r="J456" s="30"/>
      <c r="K456" s="30"/>
    </row>
    <row r="457" spans="1:11" ht="13.2">
      <c r="A457" s="82"/>
      <c r="B457" s="82"/>
      <c r="C457" s="117"/>
      <c r="E457" s="118"/>
      <c r="F457" s="82"/>
      <c r="G457" s="30"/>
      <c r="H457" s="30"/>
      <c r="I457" s="30"/>
      <c r="J457" s="30"/>
      <c r="K457" s="30"/>
    </row>
    <row r="458" spans="1:11" ht="13.2">
      <c r="A458" s="82"/>
      <c r="B458" s="82"/>
      <c r="C458" s="117"/>
      <c r="E458" s="118"/>
      <c r="F458" s="82"/>
      <c r="G458" s="30"/>
      <c r="H458" s="30"/>
      <c r="I458" s="30"/>
      <c r="J458" s="30"/>
      <c r="K458" s="30"/>
    </row>
    <row r="459" spans="1:11" ht="13.2">
      <c r="A459" s="82"/>
      <c r="B459" s="82"/>
      <c r="C459" s="117"/>
      <c r="E459" s="118"/>
      <c r="F459" s="82"/>
      <c r="G459" s="30"/>
      <c r="H459" s="30"/>
      <c r="I459" s="30"/>
      <c r="J459" s="30"/>
      <c r="K459" s="30"/>
    </row>
    <row r="460" spans="1:11" ht="13.2">
      <c r="A460" s="82"/>
      <c r="B460" s="82"/>
      <c r="C460" s="117"/>
      <c r="E460" s="118"/>
      <c r="F460" s="82"/>
      <c r="G460" s="30"/>
      <c r="H460" s="30"/>
      <c r="I460" s="30"/>
      <c r="J460" s="30"/>
      <c r="K460" s="30"/>
    </row>
    <row r="461" spans="1:11" ht="13.2">
      <c r="A461" s="82"/>
      <c r="B461" s="82"/>
      <c r="C461" s="117"/>
      <c r="E461" s="118"/>
      <c r="F461" s="82"/>
      <c r="G461" s="30"/>
      <c r="H461" s="30"/>
      <c r="I461" s="30"/>
      <c r="J461" s="30"/>
      <c r="K461" s="30"/>
    </row>
    <row r="462" spans="1:11" ht="13.2">
      <c r="A462" s="82"/>
      <c r="B462" s="82"/>
      <c r="C462" s="117"/>
      <c r="E462" s="118"/>
      <c r="F462" s="82"/>
      <c r="G462" s="30"/>
      <c r="H462" s="30"/>
      <c r="I462" s="30"/>
      <c r="J462" s="30"/>
      <c r="K462" s="30"/>
    </row>
    <row r="463" spans="1:11" ht="13.2">
      <c r="A463" s="82"/>
      <c r="B463" s="82"/>
      <c r="C463" s="117"/>
      <c r="E463" s="118"/>
      <c r="F463" s="82"/>
      <c r="G463" s="30"/>
      <c r="H463" s="30"/>
      <c r="I463" s="30"/>
      <c r="J463" s="30"/>
      <c r="K463" s="30"/>
    </row>
    <row r="464" spans="1:11" ht="13.2">
      <c r="A464" s="82"/>
      <c r="B464" s="82"/>
      <c r="C464" s="117"/>
      <c r="E464" s="118"/>
      <c r="F464" s="82"/>
      <c r="G464" s="30"/>
      <c r="H464" s="30"/>
      <c r="I464" s="30"/>
      <c r="J464" s="30"/>
      <c r="K464" s="30"/>
    </row>
    <row r="465" spans="1:11" ht="13.2">
      <c r="A465" s="82"/>
      <c r="B465" s="82"/>
      <c r="C465" s="117"/>
      <c r="E465" s="118"/>
      <c r="F465" s="82"/>
      <c r="G465" s="30"/>
      <c r="H465" s="30"/>
      <c r="I465" s="30"/>
      <c r="J465" s="30"/>
      <c r="K465" s="30"/>
    </row>
    <row r="466" spans="1:11" ht="13.2">
      <c r="A466" s="82"/>
      <c r="B466" s="82"/>
      <c r="C466" s="117"/>
      <c r="E466" s="118"/>
      <c r="F466" s="82"/>
      <c r="G466" s="30"/>
      <c r="H466" s="30"/>
      <c r="I466" s="30"/>
      <c r="J466" s="30"/>
      <c r="K466" s="30"/>
    </row>
    <row r="467" spans="1:11" ht="13.2">
      <c r="A467" s="82"/>
      <c r="B467" s="82"/>
      <c r="C467" s="117"/>
      <c r="E467" s="118"/>
      <c r="F467" s="82"/>
      <c r="G467" s="30"/>
      <c r="H467" s="30"/>
      <c r="I467" s="30"/>
      <c r="J467" s="30"/>
      <c r="K467" s="30"/>
    </row>
    <row r="468" spans="1:11" ht="13.2">
      <c r="A468" s="82"/>
      <c r="B468" s="82"/>
      <c r="C468" s="117"/>
      <c r="E468" s="118"/>
      <c r="F468" s="82"/>
      <c r="G468" s="30"/>
      <c r="H468" s="30"/>
      <c r="I468" s="30"/>
      <c r="J468" s="30"/>
      <c r="K468" s="30"/>
    </row>
    <row r="469" spans="1:11" ht="13.2">
      <c r="A469" s="82"/>
      <c r="B469" s="82"/>
      <c r="C469" s="117"/>
      <c r="E469" s="118"/>
      <c r="F469" s="82"/>
      <c r="G469" s="30"/>
      <c r="H469" s="30"/>
      <c r="I469" s="30"/>
      <c r="J469" s="30"/>
      <c r="K469" s="30"/>
    </row>
    <row r="470" spans="1:11" ht="13.2">
      <c r="A470" s="82"/>
      <c r="B470" s="82"/>
      <c r="C470" s="117"/>
      <c r="E470" s="118"/>
      <c r="F470" s="82"/>
      <c r="G470" s="30"/>
      <c r="H470" s="30"/>
      <c r="I470" s="30"/>
      <c r="J470" s="30"/>
      <c r="K470" s="30"/>
    </row>
    <row r="471" spans="1:11" ht="13.2">
      <c r="A471" s="82"/>
      <c r="B471" s="82"/>
      <c r="C471" s="117"/>
      <c r="E471" s="118"/>
      <c r="F471" s="82"/>
      <c r="G471" s="30"/>
      <c r="H471" s="30"/>
      <c r="I471" s="30"/>
      <c r="J471" s="30"/>
      <c r="K471" s="30"/>
    </row>
    <row r="472" spans="1:11" ht="13.2">
      <c r="A472" s="82"/>
      <c r="B472" s="82"/>
      <c r="C472" s="117"/>
      <c r="E472" s="118"/>
      <c r="F472" s="82"/>
      <c r="G472" s="30"/>
      <c r="H472" s="30"/>
      <c r="I472" s="30"/>
      <c r="J472" s="30"/>
      <c r="K472" s="30"/>
    </row>
    <row r="473" spans="1:11" ht="13.2">
      <c r="A473" s="82"/>
      <c r="B473" s="82"/>
      <c r="C473" s="117"/>
      <c r="E473" s="118"/>
      <c r="F473" s="82"/>
      <c r="G473" s="30"/>
      <c r="H473" s="30"/>
      <c r="I473" s="30"/>
      <c r="J473" s="30"/>
      <c r="K473" s="30"/>
    </row>
    <row r="474" spans="1:11" ht="13.2">
      <c r="A474" s="82"/>
      <c r="B474" s="82"/>
      <c r="C474" s="117"/>
      <c r="E474" s="118"/>
      <c r="F474" s="82"/>
      <c r="G474" s="30"/>
      <c r="H474" s="30"/>
      <c r="I474" s="30"/>
      <c r="J474" s="30"/>
      <c r="K474" s="30"/>
    </row>
    <row r="475" spans="1:11" ht="13.2">
      <c r="A475" s="82"/>
      <c r="B475" s="82"/>
      <c r="C475" s="117"/>
      <c r="E475" s="118"/>
      <c r="F475" s="82"/>
      <c r="G475" s="30"/>
      <c r="H475" s="30"/>
      <c r="I475" s="30"/>
      <c r="J475" s="30"/>
      <c r="K475" s="30"/>
    </row>
    <row r="476" spans="1:11" ht="13.2">
      <c r="A476" s="82"/>
      <c r="B476" s="82"/>
      <c r="C476" s="117"/>
      <c r="E476" s="118"/>
      <c r="F476" s="82"/>
      <c r="G476" s="30"/>
      <c r="H476" s="30"/>
      <c r="I476" s="30"/>
      <c r="J476" s="30"/>
      <c r="K476" s="30"/>
    </row>
    <row r="477" spans="1:11" ht="13.2">
      <c r="A477" s="82"/>
      <c r="B477" s="82"/>
      <c r="C477" s="117"/>
      <c r="E477" s="118"/>
      <c r="F477" s="82"/>
      <c r="G477" s="30"/>
      <c r="H477" s="30"/>
      <c r="I477" s="30"/>
      <c r="J477" s="30"/>
      <c r="K477" s="30"/>
    </row>
    <row r="478" spans="1:11" ht="13.2">
      <c r="A478" s="82"/>
      <c r="B478" s="82"/>
      <c r="C478" s="117"/>
      <c r="E478" s="118"/>
      <c r="F478" s="82"/>
      <c r="G478" s="30"/>
      <c r="H478" s="30"/>
      <c r="I478" s="30"/>
      <c r="J478" s="30"/>
      <c r="K478" s="30"/>
    </row>
    <row r="479" spans="1:11" ht="13.2">
      <c r="A479" s="82"/>
      <c r="B479" s="82"/>
      <c r="C479" s="117"/>
      <c r="E479" s="118"/>
      <c r="F479" s="82"/>
      <c r="G479" s="30"/>
      <c r="H479" s="30"/>
      <c r="I479" s="30"/>
      <c r="J479" s="30"/>
      <c r="K479" s="30"/>
    </row>
    <row r="480" spans="1:11" ht="13.2">
      <c r="A480" s="82"/>
      <c r="B480" s="82"/>
      <c r="C480" s="117"/>
      <c r="E480" s="118"/>
      <c r="F480" s="82"/>
      <c r="G480" s="30"/>
      <c r="H480" s="30"/>
      <c r="I480" s="30"/>
      <c r="J480" s="30"/>
      <c r="K480" s="30"/>
    </row>
    <row r="481" spans="1:11" ht="13.2">
      <c r="A481" s="82"/>
      <c r="B481" s="82"/>
      <c r="C481" s="117"/>
      <c r="E481" s="118"/>
      <c r="F481" s="82"/>
      <c r="G481" s="30"/>
      <c r="H481" s="30"/>
      <c r="I481" s="30"/>
      <c r="J481" s="30"/>
      <c r="K481" s="30"/>
    </row>
    <row r="482" spans="1:11" ht="13.2">
      <c r="A482" s="82"/>
      <c r="B482" s="82"/>
      <c r="C482" s="117"/>
      <c r="E482" s="118"/>
      <c r="F482" s="82"/>
      <c r="G482" s="30"/>
      <c r="H482" s="30"/>
      <c r="I482" s="30"/>
      <c r="J482" s="30"/>
      <c r="K482" s="30"/>
    </row>
    <row r="483" spans="1:11" ht="13.2">
      <c r="A483" s="82"/>
      <c r="B483" s="82"/>
      <c r="C483" s="117"/>
      <c r="E483" s="118"/>
      <c r="F483" s="82"/>
      <c r="G483" s="30"/>
      <c r="H483" s="30"/>
      <c r="I483" s="30"/>
      <c r="J483" s="30"/>
      <c r="K483" s="30"/>
    </row>
    <row r="484" spans="1:11" ht="13.2">
      <c r="A484" s="82"/>
      <c r="B484" s="82"/>
      <c r="C484" s="117"/>
      <c r="E484" s="118"/>
      <c r="F484" s="82"/>
      <c r="G484" s="30"/>
      <c r="H484" s="30"/>
      <c r="I484" s="30"/>
      <c r="J484" s="30"/>
      <c r="K484" s="30"/>
    </row>
    <row r="485" spans="1:11" ht="13.2">
      <c r="A485" s="82"/>
      <c r="B485" s="82"/>
      <c r="C485" s="117"/>
      <c r="E485" s="118"/>
      <c r="F485" s="82"/>
      <c r="G485" s="30"/>
      <c r="H485" s="30"/>
      <c r="I485" s="30"/>
      <c r="J485" s="30"/>
      <c r="K485" s="30"/>
    </row>
    <row r="486" spans="1:11" ht="13.2">
      <c r="A486" s="82"/>
      <c r="B486" s="82"/>
      <c r="C486" s="117"/>
      <c r="E486" s="118"/>
      <c r="F486" s="82"/>
      <c r="G486" s="30"/>
      <c r="H486" s="30"/>
      <c r="I486" s="30"/>
      <c r="J486" s="30"/>
      <c r="K486" s="30"/>
    </row>
    <row r="487" spans="1:11" ht="13.2">
      <c r="A487" s="82"/>
      <c r="B487" s="82"/>
      <c r="C487" s="117"/>
      <c r="E487" s="118"/>
      <c r="F487" s="82"/>
      <c r="G487" s="30"/>
      <c r="H487" s="30"/>
      <c r="I487" s="30"/>
      <c r="J487" s="30"/>
      <c r="K487" s="30"/>
    </row>
    <row r="488" spans="1:11" ht="13.2">
      <c r="A488" s="82"/>
      <c r="B488" s="82"/>
      <c r="C488" s="117"/>
      <c r="E488" s="118"/>
      <c r="F488" s="82"/>
      <c r="G488" s="30"/>
      <c r="H488" s="30"/>
      <c r="I488" s="30"/>
      <c r="J488" s="30"/>
      <c r="K488" s="30"/>
    </row>
    <row r="489" spans="1:11" ht="13.2">
      <c r="A489" s="82"/>
      <c r="B489" s="82"/>
      <c r="C489" s="117"/>
      <c r="E489" s="118"/>
      <c r="F489" s="82"/>
      <c r="G489" s="30"/>
      <c r="H489" s="30"/>
      <c r="I489" s="30"/>
      <c r="J489" s="30"/>
      <c r="K489" s="30"/>
    </row>
    <row r="490" spans="1:11" ht="13.2">
      <c r="A490" s="82"/>
      <c r="B490" s="82"/>
      <c r="C490" s="117"/>
      <c r="E490" s="118"/>
      <c r="F490" s="82"/>
      <c r="G490" s="30"/>
      <c r="H490" s="30"/>
      <c r="I490" s="30"/>
      <c r="J490" s="30"/>
      <c r="K490" s="30"/>
    </row>
    <row r="491" spans="1:11" ht="13.2">
      <c r="A491" s="82"/>
      <c r="B491" s="82"/>
      <c r="C491" s="117"/>
      <c r="E491" s="118"/>
      <c r="F491" s="82"/>
      <c r="G491" s="30"/>
      <c r="H491" s="30"/>
      <c r="I491" s="30"/>
      <c r="J491" s="30"/>
      <c r="K491" s="30"/>
    </row>
    <row r="492" spans="1:11" ht="13.2">
      <c r="A492" s="82"/>
      <c r="B492" s="82"/>
      <c r="C492" s="117"/>
      <c r="E492" s="118"/>
      <c r="F492" s="82"/>
      <c r="G492" s="30"/>
      <c r="H492" s="30"/>
      <c r="I492" s="30"/>
      <c r="J492" s="30"/>
      <c r="K492" s="30"/>
    </row>
    <row r="493" spans="1:11" ht="13.2">
      <c r="A493" s="82"/>
      <c r="B493" s="82"/>
      <c r="C493" s="117"/>
      <c r="E493" s="118"/>
      <c r="F493" s="82"/>
      <c r="G493" s="30"/>
      <c r="H493" s="30"/>
      <c r="I493" s="30"/>
      <c r="J493" s="30"/>
      <c r="K493" s="30"/>
    </row>
    <row r="494" spans="1:11" ht="13.2">
      <c r="A494" s="82"/>
      <c r="B494" s="82"/>
      <c r="C494" s="117"/>
      <c r="E494" s="118"/>
      <c r="F494" s="82"/>
      <c r="G494" s="30"/>
      <c r="H494" s="30"/>
      <c r="I494" s="30"/>
      <c r="J494" s="30"/>
      <c r="K494" s="30"/>
    </row>
    <row r="495" spans="1:11" ht="13.2">
      <c r="A495" s="82"/>
      <c r="B495" s="82"/>
      <c r="C495" s="117"/>
      <c r="E495" s="118"/>
      <c r="F495" s="82"/>
      <c r="G495" s="30"/>
      <c r="H495" s="30"/>
      <c r="I495" s="30"/>
      <c r="J495" s="30"/>
      <c r="K495" s="30"/>
    </row>
    <row r="496" spans="1:11" ht="13.2">
      <c r="A496" s="82"/>
      <c r="B496" s="82"/>
      <c r="C496" s="117"/>
      <c r="E496" s="118"/>
      <c r="F496" s="82"/>
      <c r="G496" s="30"/>
      <c r="H496" s="30"/>
      <c r="I496" s="30"/>
      <c r="J496" s="30"/>
      <c r="K496" s="30"/>
    </row>
    <row r="497" spans="1:11" ht="13.2">
      <c r="A497" s="82"/>
      <c r="B497" s="82"/>
      <c r="C497" s="117"/>
      <c r="E497" s="118"/>
      <c r="F497" s="82"/>
      <c r="G497" s="30"/>
      <c r="H497" s="30"/>
      <c r="I497" s="30"/>
      <c r="J497" s="30"/>
      <c r="K497" s="30"/>
    </row>
    <row r="498" spans="1:11" ht="13.2">
      <c r="A498" s="82"/>
      <c r="B498" s="82"/>
      <c r="C498" s="117"/>
      <c r="E498" s="118"/>
      <c r="F498" s="82"/>
      <c r="G498" s="30"/>
      <c r="H498" s="30"/>
      <c r="I498" s="30"/>
      <c r="J498" s="30"/>
      <c r="K498" s="30"/>
    </row>
    <row r="499" spans="1:11" ht="13.2">
      <c r="A499" s="82"/>
      <c r="B499" s="82"/>
      <c r="C499" s="117"/>
      <c r="E499" s="118"/>
      <c r="F499" s="82"/>
      <c r="G499" s="30"/>
      <c r="H499" s="30"/>
      <c r="I499" s="30"/>
      <c r="J499" s="30"/>
      <c r="K499" s="30"/>
    </row>
    <row r="500" spans="1:11" ht="13.2">
      <c r="A500" s="82"/>
      <c r="B500" s="82"/>
      <c r="C500" s="117"/>
      <c r="E500" s="118"/>
      <c r="F500" s="82"/>
      <c r="G500" s="30"/>
      <c r="H500" s="30"/>
      <c r="I500" s="30"/>
      <c r="J500" s="30"/>
      <c r="K500" s="30"/>
    </row>
    <row r="501" spans="1:11" ht="13.2">
      <c r="A501" s="82"/>
      <c r="B501" s="82"/>
      <c r="C501" s="117"/>
      <c r="E501" s="118"/>
      <c r="F501" s="82"/>
      <c r="G501" s="30"/>
      <c r="H501" s="30"/>
      <c r="I501" s="30"/>
      <c r="J501" s="30"/>
      <c r="K501" s="30"/>
    </row>
    <row r="502" spans="1:11" ht="13.2">
      <c r="A502" s="82"/>
      <c r="B502" s="82"/>
      <c r="C502" s="117"/>
      <c r="E502" s="118"/>
      <c r="F502" s="82"/>
      <c r="G502" s="30"/>
      <c r="H502" s="30"/>
      <c r="I502" s="30"/>
      <c r="J502" s="30"/>
      <c r="K502" s="30"/>
    </row>
    <row r="503" spans="1:11" ht="13.2">
      <c r="A503" s="82"/>
      <c r="B503" s="82"/>
      <c r="C503" s="117"/>
      <c r="E503" s="118"/>
      <c r="F503" s="82"/>
      <c r="G503" s="30"/>
      <c r="H503" s="30"/>
      <c r="I503" s="30"/>
      <c r="J503" s="30"/>
      <c r="K503" s="30"/>
    </row>
    <row r="504" spans="1:11" ht="13.2">
      <c r="A504" s="82"/>
      <c r="B504" s="82"/>
      <c r="C504" s="117"/>
      <c r="E504" s="118"/>
      <c r="F504" s="82"/>
      <c r="G504" s="30"/>
      <c r="H504" s="30"/>
      <c r="I504" s="30"/>
      <c r="J504" s="30"/>
      <c r="K504" s="30"/>
    </row>
    <row r="505" spans="1:11" ht="13.2">
      <c r="A505" s="82"/>
      <c r="B505" s="82"/>
      <c r="C505" s="117"/>
      <c r="E505" s="118"/>
      <c r="F505" s="82"/>
      <c r="G505" s="30"/>
      <c r="H505" s="30"/>
      <c r="I505" s="30"/>
      <c r="J505" s="30"/>
      <c r="K505" s="30"/>
    </row>
    <row r="506" spans="1:11" ht="13.2">
      <c r="A506" s="82"/>
      <c r="B506" s="82"/>
      <c r="C506" s="117"/>
      <c r="E506" s="118"/>
      <c r="F506" s="82"/>
      <c r="G506" s="30"/>
      <c r="H506" s="30"/>
      <c r="I506" s="30"/>
      <c r="J506" s="30"/>
      <c r="K506" s="30"/>
    </row>
    <row r="507" spans="1:11" ht="13.2">
      <c r="A507" s="82"/>
      <c r="B507" s="82"/>
      <c r="C507" s="117"/>
      <c r="E507" s="118"/>
      <c r="F507" s="82"/>
      <c r="G507" s="30"/>
      <c r="H507" s="30"/>
      <c r="I507" s="30"/>
      <c r="J507" s="30"/>
      <c r="K507" s="30"/>
    </row>
    <row r="508" spans="1:11" ht="13.2">
      <c r="A508" s="82"/>
      <c r="B508" s="82"/>
      <c r="C508" s="117"/>
      <c r="E508" s="118"/>
      <c r="F508" s="82"/>
      <c r="G508" s="30"/>
      <c r="H508" s="30"/>
      <c r="I508" s="30"/>
      <c r="J508" s="30"/>
      <c r="K508" s="30"/>
    </row>
    <row r="509" spans="1:11" ht="13.2">
      <c r="A509" s="82"/>
      <c r="B509" s="82"/>
      <c r="C509" s="117"/>
      <c r="E509" s="118"/>
      <c r="F509" s="82"/>
      <c r="G509" s="30"/>
      <c r="H509" s="30"/>
      <c r="I509" s="30"/>
      <c r="J509" s="30"/>
      <c r="K509" s="30"/>
    </row>
    <row r="510" spans="1:11" ht="13.2">
      <c r="A510" s="82"/>
      <c r="B510" s="82"/>
      <c r="C510" s="117"/>
      <c r="E510" s="118"/>
      <c r="F510" s="82"/>
      <c r="G510" s="30"/>
      <c r="H510" s="30"/>
      <c r="I510" s="30"/>
      <c r="J510" s="30"/>
      <c r="K510" s="30"/>
    </row>
    <row r="511" spans="1:11" ht="13.2">
      <c r="A511" s="82"/>
      <c r="B511" s="82"/>
      <c r="C511" s="117"/>
      <c r="E511" s="118"/>
      <c r="F511" s="82"/>
      <c r="G511" s="30"/>
      <c r="H511" s="30"/>
      <c r="I511" s="30"/>
      <c r="J511" s="30"/>
      <c r="K511" s="30"/>
    </row>
    <row r="512" spans="1:11" ht="13.2">
      <c r="A512" s="82"/>
      <c r="B512" s="82"/>
      <c r="C512" s="117"/>
      <c r="E512" s="118"/>
      <c r="F512" s="82"/>
      <c r="G512" s="30"/>
      <c r="H512" s="30"/>
      <c r="I512" s="30"/>
      <c r="J512" s="30"/>
      <c r="K512" s="30"/>
    </row>
    <row r="513" spans="1:11" ht="13.2">
      <c r="A513" s="82"/>
      <c r="B513" s="82"/>
      <c r="C513" s="117"/>
      <c r="E513" s="118"/>
      <c r="F513" s="82"/>
      <c r="G513" s="30"/>
      <c r="H513" s="30"/>
      <c r="I513" s="30"/>
      <c r="J513" s="30"/>
      <c r="K513" s="30"/>
    </row>
    <row r="514" spans="1:11" ht="13.2">
      <c r="A514" s="82"/>
      <c r="B514" s="82"/>
      <c r="C514" s="117"/>
      <c r="E514" s="118"/>
      <c r="F514" s="82"/>
      <c r="G514" s="30"/>
      <c r="H514" s="30"/>
      <c r="I514" s="30"/>
      <c r="J514" s="30"/>
      <c r="K514" s="30"/>
    </row>
    <row r="515" spans="1:11" ht="13.2">
      <c r="A515" s="82"/>
      <c r="B515" s="82"/>
      <c r="C515" s="117"/>
      <c r="E515" s="118"/>
      <c r="F515" s="82"/>
      <c r="G515" s="30"/>
      <c r="H515" s="30"/>
      <c r="I515" s="30"/>
      <c r="J515" s="30"/>
      <c r="K515" s="30"/>
    </row>
    <row r="516" spans="1:11" ht="13.2">
      <c r="A516" s="82"/>
      <c r="B516" s="82"/>
      <c r="C516" s="117"/>
      <c r="E516" s="118"/>
      <c r="F516" s="82"/>
      <c r="G516" s="30"/>
      <c r="H516" s="30"/>
      <c r="I516" s="30"/>
      <c r="J516" s="30"/>
      <c r="K516" s="30"/>
    </row>
    <row r="517" spans="1:11" ht="13.2">
      <c r="A517" s="82"/>
      <c r="B517" s="82"/>
      <c r="C517" s="117"/>
      <c r="E517" s="118"/>
      <c r="F517" s="82"/>
      <c r="G517" s="30"/>
      <c r="H517" s="30"/>
      <c r="I517" s="30"/>
      <c r="J517" s="30"/>
      <c r="K517" s="30"/>
    </row>
    <row r="518" spans="1:11" ht="13.2">
      <c r="A518" s="82"/>
      <c r="B518" s="82"/>
      <c r="C518" s="117"/>
      <c r="E518" s="118"/>
      <c r="F518" s="82"/>
      <c r="G518" s="30"/>
      <c r="H518" s="30"/>
      <c r="I518" s="30"/>
      <c r="J518" s="30"/>
      <c r="K518" s="30"/>
    </row>
    <row r="519" spans="1:11" ht="13.2">
      <c r="A519" s="82"/>
      <c r="B519" s="82"/>
      <c r="C519" s="117"/>
      <c r="E519" s="118"/>
      <c r="F519" s="82"/>
      <c r="G519" s="30"/>
      <c r="H519" s="30"/>
      <c r="I519" s="30"/>
      <c r="J519" s="30"/>
      <c r="K519" s="30"/>
    </row>
    <row r="520" spans="1:11" ht="13.2">
      <c r="A520" s="82"/>
      <c r="B520" s="82"/>
      <c r="C520" s="117"/>
      <c r="E520" s="118"/>
      <c r="F520" s="82"/>
      <c r="G520" s="30"/>
      <c r="H520" s="30"/>
      <c r="I520" s="30"/>
      <c r="J520" s="30"/>
      <c r="K520" s="30"/>
    </row>
    <row r="521" spans="1:11" ht="13.2">
      <c r="A521" s="82"/>
      <c r="B521" s="82"/>
      <c r="C521" s="117"/>
      <c r="E521" s="118"/>
      <c r="F521" s="82"/>
      <c r="G521" s="30"/>
      <c r="H521" s="30"/>
      <c r="I521" s="30"/>
      <c r="J521" s="30"/>
      <c r="K521" s="30"/>
    </row>
    <row r="522" spans="1:11" ht="13.2">
      <c r="A522" s="82"/>
      <c r="B522" s="82"/>
      <c r="C522" s="117"/>
      <c r="E522" s="118"/>
      <c r="F522" s="82"/>
      <c r="G522" s="30"/>
      <c r="H522" s="30"/>
      <c r="I522" s="30"/>
      <c r="J522" s="30"/>
      <c r="K522" s="30"/>
    </row>
    <row r="523" spans="1:11" ht="13.2">
      <c r="A523" s="82"/>
      <c r="B523" s="82"/>
      <c r="C523" s="117"/>
      <c r="E523" s="118"/>
      <c r="F523" s="82"/>
      <c r="G523" s="30"/>
      <c r="H523" s="30"/>
      <c r="I523" s="30"/>
      <c r="J523" s="30"/>
      <c r="K523" s="30"/>
    </row>
    <row r="524" spans="1:11" ht="13.2">
      <c r="A524" s="82"/>
      <c r="B524" s="82"/>
      <c r="C524" s="117"/>
      <c r="E524" s="118"/>
      <c r="F524" s="82"/>
      <c r="G524" s="30"/>
      <c r="H524" s="30"/>
      <c r="I524" s="30"/>
      <c r="J524" s="30"/>
      <c r="K524" s="30"/>
    </row>
    <row r="525" spans="1:11" ht="13.2">
      <c r="A525" s="82"/>
      <c r="B525" s="82"/>
      <c r="C525" s="117"/>
      <c r="E525" s="118"/>
      <c r="F525" s="82"/>
      <c r="G525" s="30"/>
      <c r="H525" s="30"/>
      <c r="I525" s="30"/>
      <c r="J525" s="30"/>
      <c r="K525" s="30"/>
    </row>
    <row r="526" spans="1:11" ht="13.2">
      <c r="A526" s="82"/>
      <c r="B526" s="82"/>
      <c r="C526" s="117"/>
      <c r="E526" s="118"/>
      <c r="F526" s="82"/>
      <c r="G526" s="30"/>
      <c r="H526" s="30"/>
      <c r="I526" s="30"/>
      <c r="J526" s="30"/>
      <c r="K526" s="30"/>
    </row>
    <row r="527" spans="1:11" ht="13.2">
      <c r="A527" s="82"/>
      <c r="B527" s="82"/>
      <c r="C527" s="117"/>
      <c r="E527" s="118"/>
      <c r="F527" s="82"/>
      <c r="G527" s="30"/>
      <c r="H527" s="30"/>
      <c r="I527" s="30"/>
      <c r="J527" s="30"/>
      <c r="K527" s="30"/>
    </row>
    <row r="528" spans="1:11" ht="13.2">
      <c r="A528" s="82"/>
      <c r="B528" s="82"/>
      <c r="C528" s="117"/>
      <c r="E528" s="118"/>
      <c r="F528" s="82"/>
      <c r="G528" s="30"/>
      <c r="H528" s="30"/>
      <c r="I528" s="30"/>
      <c r="J528" s="30"/>
      <c r="K528" s="30"/>
    </row>
    <row r="529" spans="1:11" ht="13.2">
      <c r="A529" s="82"/>
      <c r="B529" s="82"/>
      <c r="C529" s="117"/>
      <c r="E529" s="118"/>
      <c r="F529" s="82"/>
      <c r="G529" s="30"/>
      <c r="H529" s="30"/>
      <c r="I529" s="30"/>
      <c r="J529" s="30"/>
      <c r="K529" s="30"/>
    </row>
    <row r="530" spans="1:11" ht="13.2">
      <c r="A530" s="82"/>
      <c r="B530" s="82"/>
      <c r="C530" s="117"/>
      <c r="E530" s="118"/>
      <c r="F530" s="82"/>
      <c r="G530" s="30"/>
      <c r="H530" s="30"/>
      <c r="I530" s="30"/>
      <c r="J530" s="30"/>
      <c r="K530" s="30"/>
    </row>
    <row r="531" spans="1:11" ht="13.2">
      <c r="A531" s="82"/>
      <c r="B531" s="82"/>
      <c r="C531" s="117"/>
      <c r="E531" s="118"/>
      <c r="F531" s="82"/>
      <c r="G531" s="30"/>
      <c r="H531" s="30"/>
      <c r="I531" s="30"/>
      <c r="J531" s="30"/>
      <c r="K531" s="30"/>
    </row>
    <row r="532" spans="1:11" ht="13.2">
      <c r="A532" s="82"/>
      <c r="B532" s="82"/>
      <c r="C532" s="117"/>
      <c r="E532" s="118"/>
      <c r="F532" s="82"/>
      <c r="G532" s="30"/>
      <c r="H532" s="30"/>
      <c r="I532" s="30"/>
      <c r="J532" s="30"/>
      <c r="K532" s="30"/>
    </row>
    <row r="533" spans="1:11" ht="13.2">
      <c r="A533" s="82"/>
      <c r="B533" s="82"/>
      <c r="C533" s="117"/>
      <c r="E533" s="118"/>
      <c r="F533" s="82"/>
      <c r="G533" s="30"/>
      <c r="H533" s="30"/>
      <c r="I533" s="30"/>
      <c r="J533" s="30"/>
      <c r="K533" s="30"/>
    </row>
    <row r="534" spans="1:11" ht="13.2">
      <c r="A534" s="82"/>
      <c r="B534" s="82"/>
      <c r="C534" s="117"/>
      <c r="E534" s="118"/>
      <c r="F534" s="82"/>
      <c r="G534" s="30"/>
      <c r="H534" s="30"/>
      <c r="I534" s="30"/>
      <c r="J534" s="30"/>
      <c r="K534" s="30"/>
    </row>
    <row r="535" spans="1:11" ht="13.2">
      <c r="A535" s="82"/>
      <c r="B535" s="82"/>
      <c r="C535" s="117"/>
      <c r="E535" s="118"/>
      <c r="F535" s="82"/>
      <c r="G535" s="30"/>
      <c r="H535" s="30"/>
      <c r="I535" s="30"/>
      <c r="J535" s="30"/>
      <c r="K535" s="30"/>
    </row>
    <row r="536" spans="1:11" ht="13.2">
      <c r="A536" s="82"/>
      <c r="B536" s="82"/>
      <c r="C536" s="117"/>
      <c r="E536" s="118"/>
      <c r="F536" s="82"/>
      <c r="G536" s="30"/>
      <c r="H536" s="30"/>
      <c r="I536" s="30"/>
      <c r="J536" s="30"/>
      <c r="K536" s="30"/>
    </row>
    <row r="537" spans="1:11" ht="13.2">
      <c r="A537" s="82"/>
      <c r="B537" s="82"/>
      <c r="C537" s="117"/>
      <c r="E537" s="118"/>
      <c r="F537" s="82"/>
      <c r="G537" s="30"/>
      <c r="H537" s="30"/>
      <c r="I537" s="30"/>
      <c r="J537" s="30"/>
      <c r="K537" s="30"/>
    </row>
    <row r="538" spans="1:11" ht="13.2">
      <c r="A538" s="82"/>
      <c r="B538" s="82"/>
      <c r="C538" s="117"/>
      <c r="E538" s="118"/>
      <c r="F538" s="82"/>
      <c r="G538" s="30"/>
      <c r="H538" s="30"/>
      <c r="I538" s="30"/>
      <c r="J538" s="30"/>
      <c r="K538" s="30"/>
    </row>
    <row r="539" spans="1:11" ht="13.2">
      <c r="A539" s="82"/>
      <c r="B539" s="82"/>
      <c r="C539" s="117"/>
      <c r="E539" s="118"/>
      <c r="F539" s="82"/>
      <c r="G539" s="30"/>
      <c r="H539" s="30"/>
      <c r="I539" s="30"/>
      <c r="J539" s="30"/>
      <c r="K539" s="30"/>
    </row>
    <row r="540" spans="1:11" ht="13.2">
      <c r="A540" s="82"/>
      <c r="B540" s="82"/>
      <c r="C540" s="117"/>
      <c r="E540" s="118"/>
      <c r="F540" s="82"/>
      <c r="G540" s="30"/>
      <c r="H540" s="30"/>
      <c r="I540" s="30"/>
      <c r="J540" s="30"/>
      <c r="K540" s="30"/>
    </row>
    <row r="541" spans="1:11" ht="13.2">
      <c r="A541" s="82"/>
      <c r="B541" s="82"/>
      <c r="C541" s="117"/>
      <c r="E541" s="118"/>
      <c r="F541" s="82"/>
      <c r="G541" s="30"/>
      <c r="H541" s="30"/>
      <c r="I541" s="30"/>
      <c r="J541" s="30"/>
      <c r="K541" s="30"/>
    </row>
    <row r="542" spans="1:11" ht="13.2">
      <c r="A542" s="82"/>
      <c r="B542" s="82"/>
      <c r="C542" s="117"/>
      <c r="E542" s="118"/>
      <c r="F542" s="82"/>
      <c r="G542" s="30"/>
      <c r="H542" s="30"/>
      <c r="I542" s="30"/>
      <c r="J542" s="30"/>
      <c r="K542" s="30"/>
    </row>
    <row r="543" spans="1:11" ht="13.2">
      <c r="A543" s="82"/>
      <c r="B543" s="82"/>
      <c r="C543" s="117"/>
      <c r="E543" s="118"/>
      <c r="F543" s="82"/>
      <c r="G543" s="30"/>
      <c r="H543" s="30"/>
      <c r="I543" s="30"/>
      <c r="J543" s="30"/>
      <c r="K543" s="30"/>
    </row>
    <row r="544" spans="1:11" ht="13.2">
      <c r="A544" s="82"/>
      <c r="B544" s="82"/>
      <c r="C544" s="117"/>
      <c r="E544" s="118"/>
      <c r="F544" s="82"/>
      <c r="G544" s="30"/>
      <c r="H544" s="30"/>
      <c r="I544" s="30"/>
      <c r="J544" s="30"/>
      <c r="K544" s="30"/>
    </row>
    <row r="545" spans="1:11" ht="13.2">
      <c r="A545" s="82"/>
      <c r="B545" s="82"/>
      <c r="C545" s="117"/>
      <c r="E545" s="118"/>
      <c r="F545" s="82"/>
      <c r="G545" s="30"/>
      <c r="H545" s="30"/>
      <c r="I545" s="30"/>
      <c r="J545" s="30"/>
      <c r="K545" s="30"/>
    </row>
    <row r="546" spans="1:11" ht="13.2">
      <c r="A546" s="82"/>
      <c r="B546" s="82"/>
      <c r="C546" s="117"/>
      <c r="E546" s="118"/>
      <c r="F546" s="82"/>
      <c r="G546" s="30"/>
      <c r="H546" s="30"/>
      <c r="I546" s="30"/>
      <c r="J546" s="30"/>
      <c r="K546" s="30"/>
    </row>
    <row r="547" spans="1:11" ht="13.2">
      <c r="A547" s="82"/>
      <c r="B547" s="82"/>
      <c r="C547" s="117"/>
      <c r="E547" s="118"/>
      <c r="F547" s="82"/>
      <c r="G547" s="30"/>
      <c r="H547" s="30"/>
      <c r="I547" s="30"/>
      <c r="J547" s="30"/>
      <c r="K547" s="30"/>
    </row>
    <row r="548" spans="1:11" ht="13.2">
      <c r="A548" s="82"/>
      <c r="B548" s="82"/>
      <c r="C548" s="117"/>
      <c r="E548" s="118"/>
      <c r="F548" s="82"/>
      <c r="G548" s="30"/>
      <c r="H548" s="30"/>
      <c r="I548" s="30"/>
      <c r="J548" s="30"/>
      <c r="K548" s="30"/>
    </row>
    <row r="549" spans="1:11" ht="13.2">
      <c r="A549" s="82"/>
      <c r="B549" s="82"/>
      <c r="C549" s="117"/>
      <c r="E549" s="118"/>
      <c r="F549" s="82"/>
      <c r="G549" s="30"/>
      <c r="H549" s="30"/>
      <c r="I549" s="30"/>
      <c r="J549" s="30"/>
      <c r="K549" s="30"/>
    </row>
    <row r="550" spans="1:11" ht="13.2">
      <c r="A550" s="82"/>
      <c r="B550" s="82"/>
      <c r="C550" s="117"/>
      <c r="E550" s="118"/>
      <c r="F550" s="82"/>
      <c r="G550" s="30"/>
      <c r="H550" s="30"/>
      <c r="I550" s="30"/>
      <c r="J550" s="30"/>
      <c r="K550" s="30"/>
    </row>
    <row r="551" spans="1:11" ht="13.2">
      <c r="A551" s="82"/>
      <c r="B551" s="82"/>
      <c r="C551" s="117"/>
      <c r="E551" s="118"/>
      <c r="F551" s="82"/>
      <c r="G551" s="30"/>
      <c r="H551" s="30"/>
      <c r="I551" s="30"/>
      <c r="J551" s="30"/>
      <c r="K551" s="30"/>
    </row>
    <row r="552" spans="1:11" ht="13.2">
      <c r="A552" s="82"/>
      <c r="B552" s="82"/>
      <c r="C552" s="117"/>
      <c r="E552" s="118"/>
      <c r="F552" s="82"/>
      <c r="G552" s="30"/>
      <c r="H552" s="30"/>
      <c r="I552" s="30"/>
      <c r="J552" s="30"/>
      <c r="K552" s="30"/>
    </row>
    <row r="553" spans="1:11" ht="13.2">
      <c r="A553" s="82"/>
      <c r="B553" s="82"/>
      <c r="C553" s="117"/>
      <c r="E553" s="118"/>
      <c r="F553" s="82"/>
      <c r="G553" s="30"/>
      <c r="H553" s="30"/>
      <c r="I553" s="30"/>
      <c r="J553" s="30"/>
      <c r="K553" s="30"/>
    </row>
    <row r="554" spans="1:11" ht="13.2">
      <c r="A554" s="82"/>
      <c r="B554" s="82"/>
      <c r="C554" s="117"/>
      <c r="E554" s="118"/>
      <c r="F554" s="82"/>
      <c r="G554" s="30"/>
      <c r="H554" s="30"/>
      <c r="I554" s="30"/>
      <c r="J554" s="30"/>
      <c r="K554" s="30"/>
    </row>
    <row r="555" spans="1:11" ht="13.2">
      <c r="A555" s="82"/>
      <c r="B555" s="82"/>
      <c r="C555" s="117"/>
      <c r="E555" s="118"/>
      <c r="F555" s="82"/>
      <c r="G555" s="30"/>
      <c r="H555" s="30"/>
      <c r="I555" s="30"/>
      <c r="J555" s="30"/>
      <c r="K555" s="30"/>
    </row>
    <row r="556" spans="1:11" ht="13.2">
      <c r="A556" s="82"/>
      <c r="B556" s="82"/>
      <c r="C556" s="117"/>
      <c r="E556" s="118"/>
      <c r="F556" s="82"/>
      <c r="G556" s="30"/>
      <c r="H556" s="30"/>
      <c r="I556" s="30"/>
      <c r="J556" s="30"/>
      <c r="K556" s="30"/>
    </row>
    <row r="557" spans="1:11" ht="13.2">
      <c r="A557" s="82"/>
      <c r="B557" s="82"/>
      <c r="C557" s="117"/>
      <c r="E557" s="118"/>
      <c r="F557" s="82"/>
      <c r="G557" s="30"/>
      <c r="H557" s="30"/>
      <c r="I557" s="30"/>
      <c r="J557" s="30"/>
      <c r="K557" s="30"/>
    </row>
    <row r="558" spans="1:11" ht="13.2">
      <c r="A558" s="82"/>
      <c r="B558" s="82"/>
      <c r="C558" s="117"/>
      <c r="E558" s="118"/>
      <c r="F558" s="82"/>
      <c r="G558" s="30"/>
      <c r="H558" s="30"/>
      <c r="I558" s="30"/>
      <c r="J558" s="30"/>
      <c r="K558" s="30"/>
    </row>
    <row r="559" spans="1:11" ht="13.2">
      <c r="A559" s="82"/>
      <c r="B559" s="82"/>
      <c r="C559" s="117"/>
      <c r="E559" s="118"/>
      <c r="F559" s="82"/>
      <c r="G559" s="30"/>
      <c r="H559" s="30"/>
      <c r="I559" s="30"/>
      <c r="J559" s="30"/>
      <c r="K559" s="30"/>
    </row>
    <row r="560" spans="1:11" ht="13.2">
      <c r="A560" s="82"/>
      <c r="B560" s="82"/>
      <c r="C560" s="117"/>
      <c r="E560" s="118"/>
      <c r="F560" s="82"/>
      <c r="G560" s="30"/>
      <c r="H560" s="30"/>
      <c r="I560" s="30"/>
      <c r="J560" s="30"/>
      <c r="K560" s="30"/>
    </row>
    <row r="561" spans="1:11" ht="13.2">
      <c r="A561" s="82"/>
      <c r="B561" s="82"/>
      <c r="C561" s="117"/>
      <c r="E561" s="118"/>
      <c r="F561" s="82"/>
      <c r="G561" s="30"/>
      <c r="H561" s="30"/>
      <c r="I561" s="30"/>
      <c r="J561" s="30"/>
      <c r="K561" s="30"/>
    </row>
    <row r="562" spans="1:11" ht="13.2">
      <c r="A562" s="82"/>
      <c r="B562" s="82"/>
      <c r="C562" s="117"/>
      <c r="E562" s="118"/>
      <c r="F562" s="82"/>
      <c r="G562" s="30"/>
      <c r="H562" s="30"/>
      <c r="I562" s="30"/>
      <c r="J562" s="30"/>
      <c r="K562" s="30"/>
    </row>
    <row r="563" spans="1:11" ht="13.2">
      <c r="A563" s="82"/>
      <c r="B563" s="82"/>
      <c r="C563" s="117"/>
      <c r="E563" s="118"/>
      <c r="F563" s="82"/>
      <c r="G563" s="30"/>
      <c r="H563" s="30"/>
      <c r="I563" s="30"/>
      <c r="J563" s="30"/>
      <c r="K563" s="30"/>
    </row>
    <row r="564" spans="1:11" ht="13.2">
      <c r="A564" s="82"/>
      <c r="B564" s="82"/>
      <c r="C564" s="117"/>
      <c r="E564" s="118"/>
      <c r="F564" s="82"/>
      <c r="G564" s="30"/>
      <c r="H564" s="30"/>
      <c r="I564" s="30"/>
      <c r="J564" s="30"/>
      <c r="K564" s="30"/>
    </row>
    <row r="565" spans="1:11" ht="13.2">
      <c r="A565" s="82"/>
      <c r="B565" s="82"/>
      <c r="C565" s="117"/>
      <c r="E565" s="118"/>
      <c r="F565" s="82"/>
      <c r="G565" s="30"/>
      <c r="H565" s="30"/>
      <c r="I565" s="30"/>
      <c r="J565" s="30"/>
      <c r="K565" s="30"/>
    </row>
    <row r="566" spans="1:11" ht="13.2">
      <c r="A566" s="82"/>
      <c r="B566" s="82"/>
      <c r="C566" s="117"/>
      <c r="E566" s="118"/>
      <c r="F566" s="82"/>
      <c r="G566" s="30"/>
      <c r="H566" s="30"/>
      <c r="I566" s="30"/>
      <c r="J566" s="30"/>
      <c r="K566" s="30"/>
    </row>
    <row r="567" spans="1:11" ht="13.2">
      <c r="A567" s="82"/>
      <c r="B567" s="82"/>
      <c r="C567" s="117"/>
      <c r="E567" s="118"/>
      <c r="F567" s="82"/>
      <c r="G567" s="30"/>
      <c r="H567" s="30"/>
      <c r="I567" s="30"/>
      <c r="J567" s="30"/>
      <c r="K567" s="30"/>
    </row>
    <row r="568" spans="1:11" ht="13.2">
      <c r="A568" s="82"/>
      <c r="B568" s="82"/>
      <c r="C568" s="117"/>
      <c r="E568" s="118"/>
      <c r="F568" s="82"/>
      <c r="G568" s="30"/>
      <c r="H568" s="30"/>
      <c r="I568" s="30"/>
      <c r="J568" s="30"/>
      <c r="K568" s="30"/>
    </row>
    <row r="569" spans="1:11" ht="13.2">
      <c r="A569" s="82"/>
      <c r="B569" s="82"/>
      <c r="C569" s="117"/>
      <c r="E569" s="118"/>
      <c r="F569" s="82"/>
      <c r="G569" s="30"/>
      <c r="H569" s="30"/>
      <c r="I569" s="30"/>
      <c r="J569" s="30"/>
      <c r="K569" s="30"/>
    </row>
    <row r="570" spans="1:11" ht="13.2">
      <c r="A570" s="82"/>
      <c r="B570" s="82"/>
      <c r="C570" s="117"/>
      <c r="E570" s="118"/>
      <c r="F570" s="82"/>
      <c r="G570" s="30"/>
      <c r="H570" s="30"/>
      <c r="I570" s="30"/>
      <c r="J570" s="30"/>
      <c r="K570" s="30"/>
    </row>
    <row r="571" spans="1:11" ht="13.2">
      <c r="A571" s="82"/>
      <c r="B571" s="82"/>
      <c r="C571" s="117"/>
      <c r="E571" s="118"/>
      <c r="F571" s="82"/>
      <c r="G571" s="30"/>
      <c r="H571" s="30"/>
      <c r="I571" s="30"/>
      <c r="J571" s="30"/>
      <c r="K571" s="30"/>
    </row>
    <row r="572" spans="1:11" ht="13.2">
      <c r="A572" s="82"/>
      <c r="B572" s="82"/>
      <c r="C572" s="117"/>
      <c r="E572" s="118"/>
      <c r="F572" s="82"/>
      <c r="G572" s="30"/>
      <c r="H572" s="30"/>
      <c r="I572" s="30"/>
      <c r="J572" s="30"/>
      <c r="K572" s="30"/>
    </row>
    <row r="573" spans="1:11" ht="13.2">
      <c r="A573" s="82"/>
      <c r="B573" s="82"/>
      <c r="C573" s="117"/>
      <c r="E573" s="118"/>
      <c r="F573" s="82"/>
      <c r="G573" s="30"/>
      <c r="H573" s="30"/>
      <c r="I573" s="30"/>
      <c r="J573" s="30"/>
      <c r="K573" s="30"/>
    </row>
    <row r="574" spans="1:11" ht="13.2">
      <c r="A574" s="82"/>
      <c r="B574" s="82"/>
      <c r="C574" s="117"/>
      <c r="E574" s="118"/>
      <c r="F574" s="82"/>
      <c r="G574" s="30"/>
      <c r="H574" s="30"/>
      <c r="I574" s="30"/>
      <c r="J574" s="30"/>
      <c r="K574" s="30"/>
    </row>
    <row r="575" spans="1:11" ht="13.2">
      <c r="A575" s="82"/>
      <c r="B575" s="82"/>
      <c r="C575" s="117"/>
      <c r="E575" s="118"/>
      <c r="F575" s="82"/>
      <c r="G575" s="30"/>
      <c r="H575" s="30"/>
      <c r="I575" s="30"/>
      <c r="J575" s="30"/>
      <c r="K575" s="30"/>
    </row>
    <row r="576" spans="1:11" ht="13.2">
      <c r="A576" s="82"/>
      <c r="B576" s="82"/>
      <c r="C576" s="117"/>
      <c r="E576" s="118"/>
      <c r="F576" s="82"/>
      <c r="G576" s="30"/>
      <c r="H576" s="30"/>
      <c r="I576" s="30"/>
      <c r="J576" s="30"/>
      <c r="K576" s="30"/>
    </row>
    <row r="577" spans="1:11" ht="13.2">
      <c r="A577" s="82"/>
      <c r="B577" s="82"/>
      <c r="C577" s="117"/>
      <c r="E577" s="118"/>
      <c r="F577" s="82"/>
      <c r="G577" s="30"/>
      <c r="H577" s="30"/>
      <c r="I577" s="30"/>
      <c r="J577" s="30"/>
      <c r="K577" s="30"/>
    </row>
    <row r="578" spans="1:11" ht="13.2">
      <c r="A578" s="82"/>
      <c r="B578" s="82"/>
      <c r="C578" s="117"/>
      <c r="E578" s="118"/>
      <c r="F578" s="82"/>
      <c r="G578" s="30"/>
      <c r="H578" s="30"/>
      <c r="I578" s="30"/>
      <c r="J578" s="30"/>
      <c r="K578" s="30"/>
    </row>
    <row r="579" spans="1:11" ht="13.2">
      <c r="A579" s="82"/>
      <c r="B579" s="82"/>
      <c r="C579" s="117"/>
      <c r="E579" s="118"/>
      <c r="F579" s="82"/>
      <c r="G579" s="30"/>
      <c r="H579" s="30"/>
      <c r="I579" s="30"/>
      <c r="J579" s="30"/>
      <c r="K579" s="30"/>
    </row>
    <row r="580" spans="1:11" ht="13.2">
      <c r="A580" s="82"/>
      <c r="B580" s="82"/>
      <c r="C580" s="117"/>
      <c r="E580" s="118"/>
      <c r="F580" s="82"/>
      <c r="G580" s="30"/>
      <c r="H580" s="30"/>
      <c r="I580" s="30"/>
      <c r="J580" s="30"/>
      <c r="K580" s="30"/>
    </row>
    <row r="581" spans="1:11" ht="13.2">
      <c r="A581" s="82"/>
      <c r="B581" s="82"/>
      <c r="C581" s="117"/>
      <c r="E581" s="118"/>
      <c r="F581" s="82"/>
      <c r="G581" s="30"/>
      <c r="H581" s="30"/>
      <c r="I581" s="30"/>
      <c r="J581" s="30"/>
      <c r="K581" s="30"/>
    </row>
    <row r="582" spans="1:11" ht="13.2">
      <c r="A582" s="82"/>
      <c r="B582" s="82"/>
      <c r="C582" s="117"/>
      <c r="E582" s="118"/>
      <c r="F582" s="82"/>
      <c r="G582" s="30"/>
      <c r="H582" s="30"/>
      <c r="I582" s="30"/>
      <c r="J582" s="30"/>
      <c r="K582" s="30"/>
    </row>
    <row r="583" spans="1:11" ht="13.2">
      <c r="A583" s="82"/>
      <c r="B583" s="82"/>
      <c r="C583" s="117"/>
      <c r="E583" s="118"/>
      <c r="F583" s="82"/>
      <c r="G583" s="30"/>
      <c r="H583" s="30"/>
      <c r="I583" s="30"/>
      <c r="J583" s="30"/>
      <c r="K583" s="30"/>
    </row>
    <row r="584" spans="1:11" ht="13.2">
      <c r="A584" s="82"/>
      <c r="B584" s="82"/>
      <c r="C584" s="117"/>
      <c r="E584" s="118"/>
      <c r="F584" s="82"/>
      <c r="G584" s="30"/>
      <c r="H584" s="30"/>
      <c r="I584" s="30"/>
      <c r="J584" s="30"/>
      <c r="K584" s="30"/>
    </row>
    <row r="585" spans="1:11" ht="13.2">
      <c r="A585" s="82"/>
      <c r="B585" s="82"/>
      <c r="C585" s="117"/>
      <c r="E585" s="118"/>
      <c r="F585" s="82"/>
      <c r="G585" s="30"/>
      <c r="H585" s="30"/>
      <c r="I585" s="30"/>
      <c r="J585" s="30"/>
      <c r="K585" s="30"/>
    </row>
    <row r="586" spans="1:11" ht="13.2">
      <c r="A586" s="82"/>
      <c r="B586" s="82"/>
      <c r="C586" s="117"/>
      <c r="E586" s="118"/>
      <c r="F586" s="82"/>
      <c r="G586" s="30"/>
      <c r="H586" s="30"/>
      <c r="I586" s="30"/>
      <c r="J586" s="30"/>
      <c r="K586" s="30"/>
    </row>
    <row r="587" spans="1:11" ht="13.2">
      <c r="A587" s="82"/>
      <c r="B587" s="82"/>
      <c r="C587" s="117"/>
      <c r="E587" s="118"/>
      <c r="F587" s="82"/>
      <c r="G587" s="30"/>
      <c r="H587" s="30"/>
      <c r="I587" s="30"/>
      <c r="J587" s="30"/>
      <c r="K587" s="30"/>
    </row>
    <row r="588" spans="1:11" ht="13.2">
      <c r="A588" s="82"/>
      <c r="B588" s="82"/>
      <c r="C588" s="117"/>
      <c r="E588" s="118"/>
      <c r="F588" s="82"/>
      <c r="G588" s="30"/>
      <c r="H588" s="30"/>
      <c r="I588" s="30"/>
      <c r="J588" s="30"/>
      <c r="K588" s="30"/>
    </row>
    <row r="589" spans="1:11" ht="13.2">
      <c r="A589" s="82"/>
      <c r="B589" s="82"/>
      <c r="C589" s="117"/>
      <c r="E589" s="118"/>
      <c r="F589" s="82"/>
      <c r="G589" s="30"/>
      <c r="H589" s="30"/>
      <c r="I589" s="30"/>
      <c r="J589" s="30"/>
      <c r="K589" s="30"/>
    </row>
    <row r="590" spans="1:11" ht="13.2">
      <c r="A590" s="82"/>
      <c r="B590" s="82"/>
      <c r="C590" s="117"/>
      <c r="E590" s="118"/>
      <c r="F590" s="82"/>
      <c r="G590" s="30"/>
      <c r="H590" s="30"/>
      <c r="I590" s="30"/>
      <c r="J590" s="30"/>
      <c r="K590" s="30"/>
    </row>
    <row r="591" spans="1:11" ht="13.2">
      <c r="A591" s="82"/>
      <c r="B591" s="82"/>
      <c r="C591" s="117"/>
      <c r="E591" s="118"/>
      <c r="F591" s="82"/>
      <c r="G591" s="30"/>
      <c r="H591" s="30"/>
      <c r="I591" s="30"/>
      <c r="J591" s="30"/>
      <c r="K591" s="30"/>
    </row>
    <row r="592" spans="1:11" ht="13.2">
      <c r="A592" s="82"/>
      <c r="B592" s="82"/>
      <c r="C592" s="117"/>
      <c r="E592" s="118"/>
      <c r="F592" s="82"/>
      <c r="G592" s="30"/>
      <c r="H592" s="30"/>
      <c r="I592" s="30"/>
      <c r="J592" s="30"/>
      <c r="K592" s="30"/>
    </row>
    <row r="593" spans="1:11" ht="13.2">
      <c r="A593" s="82"/>
      <c r="B593" s="82"/>
      <c r="C593" s="117"/>
      <c r="E593" s="118"/>
      <c r="F593" s="82"/>
      <c r="G593" s="30"/>
      <c r="H593" s="30"/>
      <c r="I593" s="30"/>
      <c r="J593" s="30"/>
      <c r="K593" s="30"/>
    </row>
    <row r="594" spans="1:11" ht="13.2">
      <c r="A594" s="82"/>
      <c r="B594" s="82"/>
      <c r="C594" s="117"/>
      <c r="E594" s="118"/>
      <c r="F594" s="82"/>
      <c r="G594" s="30"/>
      <c r="H594" s="30"/>
      <c r="I594" s="30"/>
      <c r="J594" s="30"/>
      <c r="K594" s="30"/>
    </row>
    <row r="595" spans="1:11" ht="13.2">
      <c r="A595" s="82"/>
      <c r="B595" s="82"/>
      <c r="C595" s="117"/>
      <c r="E595" s="118"/>
      <c r="F595" s="82"/>
      <c r="G595" s="30"/>
      <c r="H595" s="30"/>
      <c r="I595" s="30"/>
      <c r="J595" s="30"/>
      <c r="K595" s="30"/>
    </row>
    <row r="596" spans="1:11" ht="13.2">
      <c r="A596" s="82"/>
      <c r="B596" s="82"/>
      <c r="C596" s="117"/>
      <c r="E596" s="118"/>
      <c r="F596" s="82"/>
      <c r="G596" s="30"/>
      <c r="H596" s="30"/>
      <c r="I596" s="30"/>
      <c r="J596" s="30"/>
      <c r="K596" s="30"/>
    </row>
    <row r="597" spans="1:11" ht="13.2">
      <c r="A597" s="82"/>
      <c r="B597" s="82"/>
      <c r="C597" s="117"/>
      <c r="E597" s="118"/>
      <c r="F597" s="82"/>
      <c r="G597" s="30"/>
      <c r="H597" s="30"/>
      <c r="I597" s="30"/>
      <c r="J597" s="30"/>
      <c r="K597" s="30"/>
    </row>
    <row r="598" spans="1:11" ht="13.2">
      <c r="A598" s="82"/>
      <c r="B598" s="82"/>
      <c r="C598" s="117"/>
      <c r="E598" s="118"/>
      <c r="F598" s="82"/>
      <c r="G598" s="30"/>
      <c r="H598" s="30"/>
      <c r="I598" s="30"/>
      <c r="J598" s="30"/>
      <c r="K598" s="30"/>
    </row>
    <row r="599" spans="1:11" ht="13.2">
      <c r="A599" s="82"/>
      <c r="B599" s="82"/>
      <c r="C599" s="117"/>
      <c r="E599" s="118"/>
      <c r="F599" s="82"/>
      <c r="G599" s="30"/>
      <c r="H599" s="30"/>
      <c r="I599" s="30"/>
      <c r="J599" s="30"/>
      <c r="K599" s="30"/>
    </row>
    <row r="600" spans="1:11" ht="13.2">
      <c r="A600" s="82"/>
      <c r="B600" s="82"/>
      <c r="C600" s="117"/>
      <c r="E600" s="118"/>
      <c r="F600" s="82"/>
      <c r="G600" s="30"/>
      <c r="H600" s="30"/>
      <c r="I600" s="30"/>
      <c r="J600" s="30"/>
      <c r="K600" s="30"/>
    </row>
    <row r="601" spans="1:11" ht="13.2">
      <c r="A601" s="82"/>
      <c r="B601" s="82"/>
      <c r="C601" s="117"/>
      <c r="E601" s="118"/>
      <c r="F601" s="82"/>
      <c r="G601" s="30"/>
      <c r="H601" s="30"/>
      <c r="I601" s="30"/>
      <c r="J601" s="30"/>
      <c r="K601" s="30"/>
    </row>
    <row r="602" spans="1:11" ht="13.2">
      <c r="A602" s="82"/>
      <c r="B602" s="82"/>
      <c r="C602" s="117"/>
      <c r="E602" s="118"/>
      <c r="F602" s="82"/>
      <c r="G602" s="30"/>
      <c r="H602" s="30"/>
      <c r="I602" s="30"/>
      <c r="J602" s="30"/>
      <c r="K602" s="30"/>
    </row>
    <row r="603" spans="1:11" ht="13.2">
      <c r="A603" s="82"/>
      <c r="B603" s="82"/>
      <c r="C603" s="117"/>
      <c r="E603" s="118"/>
      <c r="F603" s="82"/>
      <c r="G603" s="30"/>
      <c r="H603" s="30"/>
      <c r="I603" s="30"/>
      <c r="J603" s="30"/>
      <c r="K603" s="30"/>
    </row>
    <row r="604" spans="1:11" ht="13.2">
      <c r="A604" s="82"/>
      <c r="B604" s="82"/>
      <c r="C604" s="117"/>
      <c r="E604" s="118"/>
      <c r="F604" s="82"/>
      <c r="G604" s="30"/>
      <c r="H604" s="30"/>
      <c r="I604" s="30"/>
      <c r="J604" s="30"/>
      <c r="K604" s="30"/>
    </row>
    <row r="605" spans="1:11" ht="13.2">
      <c r="A605" s="82"/>
      <c r="B605" s="82"/>
      <c r="C605" s="117"/>
      <c r="E605" s="118"/>
      <c r="F605" s="82"/>
      <c r="G605" s="30"/>
      <c r="H605" s="30"/>
      <c r="I605" s="30"/>
      <c r="J605" s="30"/>
      <c r="K605" s="30"/>
    </row>
    <row r="606" spans="1:11" ht="13.2">
      <c r="A606" s="82"/>
      <c r="B606" s="82"/>
      <c r="C606" s="117"/>
      <c r="E606" s="118"/>
      <c r="F606" s="82"/>
      <c r="G606" s="30"/>
      <c r="H606" s="30"/>
      <c r="I606" s="30"/>
      <c r="J606" s="30"/>
      <c r="K606" s="30"/>
    </row>
    <row r="607" spans="1:11" ht="13.2">
      <c r="A607" s="82"/>
      <c r="B607" s="82"/>
      <c r="C607" s="117"/>
      <c r="E607" s="118"/>
      <c r="F607" s="82"/>
      <c r="G607" s="30"/>
      <c r="H607" s="30"/>
      <c r="I607" s="30"/>
      <c r="J607" s="30"/>
      <c r="K607" s="30"/>
    </row>
    <row r="608" spans="1:11" ht="13.2">
      <c r="A608" s="82"/>
      <c r="B608" s="82"/>
      <c r="C608" s="117"/>
      <c r="E608" s="118"/>
      <c r="F608" s="82"/>
      <c r="G608" s="30"/>
      <c r="H608" s="30"/>
      <c r="I608" s="30"/>
      <c r="J608" s="30"/>
      <c r="K608" s="30"/>
    </row>
    <row r="609" spans="1:11" ht="13.2">
      <c r="A609" s="82"/>
      <c r="B609" s="82"/>
      <c r="C609" s="117"/>
      <c r="E609" s="118"/>
      <c r="F609" s="82"/>
      <c r="G609" s="30"/>
      <c r="H609" s="30"/>
      <c r="I609" s="30"/>
      <c r="J609" s="30"/>
      <c r="K609" s="30"/>
    </row>
    <row r="610" spans="1:11" ht="13.2">
      <c r="A610" s="82"/>
      <c r="B610" s="82"/>
      <c r="C610" s="117"/>
      <c r="E610" s="118"/>
      <c r="F610" s="82"/>
      <c r="G610" s="30"/>
      <c r="H610" s="30"/>
      <c r="I610" s="30"/>
      <c r="J610" s="30"/>
      <c r="K610" s="30"/>
    </row>
    <row r="611" spans="1:11" ht="13.2">
      <c r="A611" s="82"/>
      <c r="B611" s="82"/>
      <c r="C611" s="117"/>
      <c r="E611" s="118"/>
      <c r="F611" s="82"/>
      <c r="G611" s="30"/>
      <c r="H611" s="30"/>
      <c r="I611" s="30"/>
      <c r="J611" s="30"/>
      <c r="K611" s="30"/>
    </row>
    <row r="612" spans="1:11" ht="13.2">
      <c r="A612" s="82"/>
      <c r="B612" s="82"/>
      <c r="C612" s="117"/>
      <c r="E612" s="118"/>
      <c r="F612" s="82"/>
      <c r="G612" s="30"/>
      <c r="H612" s="30"/>
      <c r="I612" s="30"/>
      <c r="J612" s="30"/>
      <c r="K612" s="30"/>
    </row>
    <row r="613" spans="1:11" ht="13.2">
      <c r="A613" s="82"/>
      <c r="B613" s="82"/>
      <c r="C613" s="117"/>
      <c r="E613" s="118"/>
      <c r="F613" s="82"/>
      <c r="G613" s="30"/>
      <c r="H613" s="30"/>
      <c r="I613" s="30"/>
      <c r="J613" s="30"/>
      <c r="K613" s="30"/>
    </row>
    <row r="614" spans="1:11" ht="13.2">
      <c r="A614" s="82"/>
      <c r="B614" s="82"/>
      <c r="C614" s="117"/>
      <c r="E614" s="118"/>
      <c r="F614" s="82"/>
      <c r="G614" s="30"/>
      <c r="H614" s="30"/>
      <c r="I614" s="30"/>
      <c r="J614" s="30"/>
      <c r="K614" s="30"/>
    </row>
    <row r="615" spans="1:11" ht="13.2">
      <c r="A615" s="82"/>
      <c r="B615" s="82"/>
      <c r="C615" s="117"/>
      <c r="E615" s="118"/>
      <c r="F615" s="82"/>
      <c r="G615" s="30"/>
      <c r="H615" s="30"/>
      <c r="I615" s="30"/>
      <c r="J615" s="30"/>
      <c r="K615" s="30"/>
    </row>
    <row r="616" spans="1:11" ht="13.2">
      <c r="A616" s="82"/>
      <c r="B616" s="82"/>
      <c r="C616" s="117"/>
      <c r="E616" s="118"/>
      <c r="F616" s="82"/>
      <c r="G616" s="30"/>
      <c r="H616" s="30"/>
      <c r="I616" s="30"/>
      <c r="J616" s="30"/>
      <c r="K616" s="30"/>
    </row>
    <row r="617" spans="1:11" ht="13.2">
      <c r="A617" s="82"/>
      <c r="B617" s="82"/>
      <c r="C617" s="117"/>
      <c r="E617" s="118"/>
      <c r="F617" s="82"/>
      <c r="G617" s="30"/>
      <c r="H617" s="30"/>
      <c r="I617" s="30"/>
      <c r="J617" s="30"/>
      <c r="K617" s="30"/>
    </row>
    <row r="618" spans="1:11" ht="13.2">
      <c r="A618" s="82"/>
      <c r="B618" s="82"/>
      <c r="C618" s="117"/>
      <c r="E618" s="118"/>
      <c r="F618" s="82"/>
      <c r="G618" s="30"/>
      <c r="H618" s="30"/>
      <c r="I618" s="30"/>
      <c r="J618" s="30"/>
      <c r="K618" s="30"/>
    </row>
    <row r="619" spans="1:11" ht="13.2">
      <c r="A619" s="82"/>
      <c r="B619" s="82"/>
      <c r="C619" s="117"/>
      <c r="E619" s="118"/>
      <c r="F619" s="82"/>
      <c r="G619" s="30"/>
      <c r="H619" s="30"/>
      <c r="I619" s="30"/>
      <c r="J619" s="30"/>
      <c r="K619" s="30"/>
    </row>
    <row r="620" spans="1:11" ht="13.2">
      <c r="A620" s="82"/>
      <c r="B620" s="82"/>
      <c r="C620" s="117"/>
      <c r="E620" s="118"/>
      <c r="F620" s="82"/>
      <c r="G620" s="30"/>
      <c r="H620" s="30"/>
      <c r="I620" s="30"/>
      <c r="J620" s="30"/>
      <c r="K620" s="30"/>
    </row>
    <row r="621" spans="1:11" ht="13.2">
      <c r="A621" s="82"/>
      <c r="B621" s="82"/>
      <c r="C621" s="117"/>
      <c r="E621" s="118"/>
      <c r="F621" s="82"/>
      <c r="G621" s="30"/>
      <c r="H621" s="30"/>
      <c r="I621" s="30"/>
      <c r="J621" s="30"/>
      <c r="K621" s="30"/>
    </row>
    <row r="622" spans="1:11" ht="13.2">
      <c r="A622" s="82"/>
      <c r="B622" s="82"/>
      <c r="C622" s="117"/>
      <c r="E622" s="118"/>
      <c r="F622" s="82"/>
      <c r="G622" s="30"/>
      <c r="H622" s="30"/>
      <c r="I622" s="30"/>
      <c r="J622" s="30"/>
      <c r="K622" s="30"/>
    </row>
    <row r="623" spans="1:11" ht="13.2">
      <c r="A623" s="82"/>
      <c r="B623" s="82"/>
      <c r="C623" s="117"/>
      <c r="E623" s="118"/>
      <c r="F623" s="82"/>
      <c r="G623" s="30"/>
      <c r="H623" s="30"/>
      <c r="I623" s="30"/>
      <c r="J623" s="30"/>
      <c r="K623" s="30"/>
    </row>
    <row r="624" spans="1:11" ht="13.2">
      <c r="A624" s="82"/>
      <c r="B624" s="82"/>
      <c r="C624" s="117"/>
      <c r="E624" s="118"/>
      <c r="F624" s="82"/>
      <c r="G624" s="30"/>
      <c r="H624" s="30"/>
      <c r="I624" s="30"/>
      <c r="J624" s="30"/>
      <c r="K624" s="30"/>
    </row>
    <row r="625" spans="1:11" ht="13.2">
      <c r="A625" s="82"/>
      <c r="B625" s="82"/>
      <c r="C625" s="117"/>
      <c r="E625" s="118"/>
      <c r="F625" s="82"/>
      <c r="G625" s="30"/>
      <c r="H625" s="30"/>
      <c r="I625" s="30"/>
      <c r="J625" s="30"/>
      <c r="K625" s="30"/>
    </row>
    <row r="626" spans="1:11" ht="13.2">
      <c r="A626" s="82"/>
      <c r="B626" s="82"/>
      <c r="C626" s="117"/>
      <c r="E626" s="118"/>
      <c r="F626" s="82"/>
      <c r="G626" s="30"/>
      <c r="H626" s="30"/>
      <c r="I626" s="30"/>
      <c r="J626" s="30"/>
      <c r="K626" s="30"/>
    </row>
    <row r="627" spans="1:11" ht="13.2">
      <c r="A627" s="82"/>
      <c r="B627" s="82"/>
      <c r="C627" s="117"/>
      <c r="E627" s="118"/>
      <c r="F627" s="82"/>
      <c r="G627" s="30"/>
      <c r="H627" s="30"/>
      <c r="I627" s="30"/>
      <c r="J627" s="30"/>
      <c r="K627" s="30"/>
    </row>
    <row r="628" spans="1:11" ht="13.2">
      <c r="A628" s="82"/>
      <c r="B628" s="82"/>
      <c r="C628" s="117"/>
      <c r="E628" s="118"/>
      <c r="F628" s="82"/>
      <c r="G628" s="30"/>
      <c r="H628" s="30"/>
      <c r="I628" s="30"/>
      <c r="J628" s="30"/>
      <c r="K628" s="30"/>
    </row>
    <row r="629" spans="1:11" ht="13.2">
      <c r="A629" s="82"/>
      <c r="B629" s="82"/>
      <c r="C629" s="117"/>
      <c r="E629" s="118"/>
      <c r="F629" s="82"/>
      <c r="G629" s="30"/>
      <c r="H629" s="30"/>
      <c r="I629" s="30"/>
      <c r="J629" s="30"/>
      <c r="K629" s="30"/>
    </row>
    <row r="630" spans="1:11" ht="13.2">
      <c r="A630" s="82"/>
      <c r="B630" s="82"/>
      <c r="C630" s="117"/>
      <c r="E630" s="118"/>
      <c r="F630" s="82"/>
      <c r="G630" s="30"/>
      <c r="H630" s="30"/>
      <c r="I630" s="30"/>
      <c r="J630" s="30"/>
      <c r="K630" s="30"/>
    </row>
    <row r="631" spans="1:11" ht="13.2">
      <c r="A631" s="82"/>
      <c r="B631" s="82"/>
      <c r="C631" s="117"/>
      <c r="E631" s="118"/>
      <c r="F631" s="82"/>
      <c r="G631" s="30"/>
      <c r="H631" s="30"/>
      <c r="I631" s="30"/>
      <c r="J631" s="30"/>
      <c r="K631" s="30"/>
    </row>
    <row r="632" spans="1:11" ht="13.2">
      <c r="A632" s="82"/>
      <c r="B632" s="82"/>
      <c r="C632" s="117"/>
      <c r="E632" s="118"/>
      <c r="F632" s="82"/>
      <c r="G632" s="30"/>
      <c r="H632" s="30"/>
      <c r="I632" s="30"/>
      <c r="J632" s="30"/>
      <c r="K632" s="30"/>
    </row>
    <row r="633" spans="1:11" ht="13.2">
      <c r="A633" s="82"/>
      <c r="B633" s="82"/>
      <c r="C633" s="117"/>
      <c r="E633" s="118"/>
      <c r="F633" s="82"/>
      <c r="G633" s="30"/>
      <c r="H633" s="30"/>
      <c r="I633" s="30"/>
      <c r="J633" s="30"/>
      <c r="K633" s="30"/>
    </row>
    <row r="634" spans="1:11" ht="13.2">
      <c r="A634" s="82"/>
      <c r="B634" s="82"/>
      <c r="C634" s="117"/>
      <c r="E634" s="118"/>
      <c r="F634" s="82"/>
      <c r="G634" s="30"/>
      <c r="H634" s="30"/>
      <c r="I634" s="30"/>
      <c r="J634" s="30"/>
      <c r="K634" s="30"/>
    </row>
    <row r="635" spans="1:11" ht="13.2">
      <c r="A635" s="82"/>
      <c r="B635" s="82"/>
      <c r="C635" s="117"/>
      <c r="E635" s="118"/>
      <c r="F635" s="82"/>
      <c r="G635" s="30"/>
      <c r="H635" s="30"/>
      <c r="I635" s="30"/>
      <c r="J635" s="30"/>
      <c r="K635" s="30"/>
    </row>
    <row r="636" spans="1:11" ht="13.2">
      <c r="A636" s="82"/>
      <c r="B636" s="82"/>
      <c r="C636" s="117"/>
      <c r="E636" s="118"/>
      <c r="F636" s="82"/>
      <c r="G636" s="30"/>
      <c r="H636" s="30"/>
      <c r="I636" s="30"/>
      <c r="J636" s="30"/>
      <c r="K636" s="30"/>
    </row>
    <row r="637" spans="1:11" ht="13.2">
      <c r="A637" s="82"/>
      <c r="B637" s="82"/>
      <c r="C637" s="117"/>
      <c r="E637" s="118"/>
      <c r="F637" s="82"/>
      <c r="G637" s="30"/>
      <c r="H637" s="30"/>
      <c r="I637" s="30"/>
      <c r="J637" s="30"/>
      <c r="K637" s="30"/>
    </row>
    <row r="638" spans="1:11" ht="13.2">
      <c r="A638" s="82"/>
      <c r="B638" s="82"/>
      <c r="C638" s="117"/>
      <c r="E638" s="118"/>
      <c r="F638" s="82"/>
      <c r="G638" s="30"/>
      <c r="H638" s="30"/>
      <c r="I638" s="30"/>
      <c r="J638" s="30"/>
      <c r="K638" s="30"/>
    </row>
    <row r="639" spans="1:11" ht="13.2">
      <c r="A639" s="82"/>
      <c r="B639" s="82"/>
      <c r="C639" s="117"/>
      <c r="E639" s="118"/>
      <c r="F639" s="82"/>
      <c r="G639" s="30"/>
      <c r="H639" s="30"/>
      <c r="I639" s="30"/>
      <c r="J639" s="30"/>
      <c r="K639" s="30"/>
    </row>
    <row r="640" spans="1:11" ht="13.2">
      <c r="A640" s="82"/>
      <c r="B640" s="82"/>
      <c r="C640" s="117"/>
      <c r="E640" s="118"/>
      <c r="F640" s="82"/>
      <c r="G640" s="30"/>
      <c r="H640" s="30"/>
      <c r="I640" s="30"/>
      <c r="J640" s="30"/>
      <c r="K640" s="30"/>
    </row>
    <row r="641" spans="1:11" ht="13.2">
      <c r="A641" s="82"/>
      <c r="B641" s="82"/>
      <c r="C641" s="117"/>
      <c r="E641" s="118"/>
      <c r="F641" s="82"/>
      <c r="G641" s="30"/>
      <c r="H641" s="30"/>
      <c r="I641" s="30"/>
      <c r="J641" s="30"/>
      <c r="K641" s="30"/>
    </row>
    <row r="642" spans="1:11" ht="13.2">
      <c r="A642" s="82"/>
      <c r="B642" s="82"/>
      <c r="C642" s="117"/>
      <c r="E642" s="118"/>
      <c r="F642" s="82"/>
      <c r="G642" s="30"/>
      <c r="H642" s="30"/>
      <c r="I642" s="30"/>
      <c r="J642" s="30"/>
      <c r="K642" s="30"/>
    </row>
    <row r="643" spans="1:11" ht="13.2">
      <c r="A643" s="82"/>
      <c r="B643" s="82"/>
      <c r="C643" s="117"/>
      <c r="E643" s="118"/>
      <c r="F643" s="82"/>
      <c r="G643" s="30"/>
      <c r="H643" s="30"/>
      <c r="I643" s="30"/>
      <c r="J643" s="30"/>
      <c r="K643" s="30"/>
    </row>
    <row r="644" spans="1:11" ht="13.2">
      <c r="A644" s="82"/>
      <c r="B644" s="82"/>
      <c r="C644" s="117"/>
      <c r="E644" s="118"/>
      <c r="F644" s="82"/>
      <c r="G644" s="30"/>
      <c r="H644" s="30"/>
      <c r="I644" s="30"/>
      <c r="J644" s="30"/>
      <c r="K644" s="30"/>
    </row>
    <row r="645" spans="1:11" ht="13.2">
      <c r="A645" s="82"/>
      <c r="B645" s="82"/>
      <c r="C645" s="117"/>
      <c r="E645" s="118"/>
      <c r="F645" s="82"/>
      <c r="G645" s="30"/>
      <c r="H645" s="30"/>
      <c r="I645" s="30"/>
      <c r="J645" s="30"/>
      <c r="K645" s="30"/>
    </row>
    <row r="646" spans="1:11" ht="13.2">
      <c r="A646" s="82"/>
      <c r="B646" s="82"/>
      <c r="C646" s="117"/>
      <c r="E646" s="118"/>
      <c r="F646" s="82"/>
      <c r="G646" s="30"/>
      <c r="H646" s="30"/>
      <c r="I646" s="30"/>
      <c r="J646" s="30"/>
      <c r="K646" s="30"/>
    </row>
    <row r="647" spans="1:11" ht="13.2">
      <c r="A647" s="82"/>
      <c r="B647" s="82"/>
      <c r="C647" s="117"/>
      <c r="E647" s="118"/>
      <c r="F647" s="82"/>
      <c r="G647" s="30"/>
      <c r="H647" s="30"/>
      <c r="I647" s="30"/>
      <c r="J647" s="30"/>
      <c r="K647" s="30"/>
    </row>
    <row r="648" spans="1:11" ht="13.2">
      <c r="A648" s="82"/>
      <c r="B648" s="82"/>
      <c r="C648" s="117"/>
      <c r="E648" s="118"/>
      <c r="F648" s="82"/>
      <c r="G648" s="30"/>
      <c r="H648" s="30"/>
      <c r="I648" s="30"/>
      <c r="J648" s="30"/>
      <c r="K648" s="30"/>
    </row>
    <row r="649" spans="1:11" ht="13.2">
      <c r="A649" s="82"/>
      <c r="B649" s="82"/>
      <c r="C649" s="117"/>
      <c r="E649" s="118"/>
      <c r="F649" s="82"/>
      <c r="G649" s="30"/>
      <c r="H649" s="30"/>
      <c r="I649" s="30"/>
      <c r="J649" s="30"/>
      <c r="K649" s="30"/>
    </row>
    <row r="650" spans="1:11" ht="13.2">
      <c r="A650" s="82"/>
      <c r="B650" s="82"/>
      <c r="C650" s="117"/>
      <c r="E650" s="118"/>
      <c r="F650" s="82"/>
      <c r="G650" s="30"/>
      <c r="H650" s="30"/>
      <c r="I650" s="30"/>
      <c r="J650" s="30"/>
      <c r="K650" s="30"/>
    </row>
    <row r="651" spans="1:11" ht="13.2">
      <c r="A651" s="82"/>
      <c r="B651" s="82"/>
      <c r="C651" s="117"/>
      <c r="E651" s="118"/>
      <c r="F651" s="82"/>
      <c r="G651" s="30"/>
      <c r="H651" s="30"/>
      <c r="I651" s="30"/>
      <c r="J651" s="30"/>
      <c r="K651" s="30"/>
    </row>
    <row r="652" spans="1:11" ht="13.2">
      <c r="A652" s="82"/>
      <c r="B652" s="82"/>
      <c r="C652" s="117"/>
      <c r="E652" s="118"/>
      <c r="F652" s="82"/>
      <c r="G652" s="30"/>
      <c r="H652" s="30"/>
      <c r="I652" s="30"/>
      <c r="J652" s="30"/>
      <c r="K652" s="30"/>
    </row>
    <row r="653" spans="1:11" ht="13.2">
      <c r="A653" s="82"/>
      <c r="B653" s="82"/>
      <c r="C653" s="117"/>
      <c r="E653" s="118"/>
      <c r="F653" s="82"/>
      <c r="G653" s="30"/>
      <c r="H653" s="30"/>
      <c r="I653" s="30"/>
      <c r="J653" s="30"/>
      <c r="K653" s="30"/>
    </row>
    <row r="654" spans="1:11" ht="13.2">
      <c r="A654" s="82"/>
      <c r="B654" s="82"/>
      <c r="C654" s="117"/>
      <c r="E654" s="118"/>
      <c r="F654" s="82"/>
      <c r="G654" s="30"/>
      <c r="H654" s="30"/>
      <c r="I654" s="30"/>
      <c r="J654" s="30"/>
      <c r="K654" s="30"/>
    </row>
    <row r="655" spans="1:11" ht="13.2">
      <c r="A655" s="82"/>
      <c r="B655" s="82"/>
      <c r="C655" s="117"/>
      <c r="E655" s="118"/>
      <c r="F655" s="82"/>
      <c r="G655" s="30"/>
      <c r="H655" s="30"/>
      <c r="I655" s="30"/>
      <c r="J655" s="30"/>
      <c r="K655" s="30"/>
    </row>
    <row r="656" spans="1:11" ht="13.2">
      <c r="A656" s="82"/>
      <c r="B656" s="82"/>
      <c r="C656" s="117"/>
      <c r="E656" s="118"/>
      <c r="F656" s="82"/>
      <c r="G656" s="30"/>
      <c r="H656" s="30"/>
      <c r="I656" s="30"/>
      <c r="J656" s="30"/>
      <c r="K656" s="30"/>
    </row>
    <row r="657" spans="1:11" ht="13.2">
      <c r="A657" s="82"/>
      <c r="B657" s="82"/>
      <c r="C657" s="117"/>
      <c r="E657" s="118"/>
      <c r="F657" s="82"/>
      <c r="G657" s="30"/>
      <c r="H657" s="30"/>
      <c r="I657" s="30"/>
      <c r="J657" s="30"/>
      <c r="K657" s="30"/>
    </row>
    <row r="658" spans="1:11" ht="13.2">
      <c r="A658" s="82"/>
      <c r="B658" s="82"/>
      <c r="C658" s="117"/>
      <c r="E658" s="118"/>
      <c r="F658" s="82"/>
      <c r="G658" s="30"/>
      <c r="H658" s="30"/>
      <c r="I658" s="30"/>
      <c r="J658" s="30"/>
      <c r="K658" s="30"/>
    </row>
    <row r="659" spans="1:11" ht="13.2">
      <c r="A659" s="82"/>
      <c r="B659" s="82"/>
      <c r="C659" s="117"/>
      <c r="E659" s="118"/>
      <c r="F659" s="82"/>
      <c r="G659" s="30"/>
      <c r="H659" s="30"/>
      <c r="I659" s="30"/>
      <c r="J659" s="30"/>
      <c r="K659" s="30"/>
    </row>
    <row r="660" spans="1:11" ht="13.2">
      <c r="A660" s="82"/>
      <c r="B660" s="82"/>
      <c r="C660" s="117"/>
      <c r="E660" s="118"/>
      <c r="F660" s="82"/>
      <c r="G660" s="30"/>
      <c r="H660" s="30"/>
      <c r="I660" s="30"/>
      <c r="J660" s="30"/>
      <c r="K660" s="30"/>
    </row>
    <row r="661" spans="1:11" ht="13.2">
      <c r="A661" s="82"/>
      <c r="B661" s="82"/>
      <c r="C661" s="117"/>
      <c r="E661" s="118"/>
      <c r="F661" s="82"/>
      <c r="G661" s="30"/>
      <c r="H661" s="30"/>
      <c r="I661" s="30"/>
      <c r="J661" s="30"/>
      <c r="K661" s="30"/>
    </row>
    <row r="662" spans="1:11" ht="13.2">
      <c r="A662" s="82"/>
      <c r="B662" s="82"/>
      <c r="C662" s="117"/>
      <c r="E662" s="118"/>
      <c r="F662" s="82"/>
      <c r="G662" s="30"/>
      <c r="H662" s="30"/>
      <c r="I662" s="30"/>
      <c r="J662" s="30"/>
      <c r="K662" s="30"/>
    </row>
    <row r="663" spans="1:11" ht="13.2">
      <c r="A663" s="82"/>
      <c r="B663" s="82"/>
      <c r="C663" s="117"/>
      <c r="E663" s="118"/>
      <c r="F663" s="82"/>
      <c r="G663" s="30"/>
      <c r="H663" s="30"/>
      <c r="I663" s="30"/>
      <c r="J663" s="30"/>
      <c r="K663" s="30"/>
    </row>
    <row r="664" spans="1:11" ht="13.2">
      <c r="A664" s="82"/>
      <c r="B664" s="82"/>
      <c r="C664" s="117"/>
      <c r="E664" s="118"/>
      <c r="F664" s="82"/>
      <c r="G664" s="30"/>
      <c r="H664" s="30"/>
      <c r="I664" s="30"/>
      <c r="J664" s="30"/>
      <c r="K664" s="30"/>
    </row>
    <row r="665" spans="1:11" ht="13.2">
      <c r="A665" s="82"/>
      <c r="B665" s="82"/>
      <c r="C665" s="117"/>
      <c r="E665" s="118"/>
      <c r="F665" s="82"/>
      <c r="G665" s="30"/>
      <c r="H665" s="30"/>
      <c r="I665" s="30"/>
      <c r="J665" s="30"/>
      <c r="K665" s="30"/>
    </row>
    <row r="666" spans="1:11" ht="13.2">
      <c r="A666" s="82"/>
      <c r="B666" s="82"/>
      <c r="C666" s="117"/>
      <c r="E666" s="118"/>
      <c r="F666" s="82"/>
      <c r="G666" s="30"/>
      <c r="H666" s="30"/>
      <c r="I666" s="30"/>
      <c r="J666" s="30"/>
      <c r="K666" s="30"/>
    </row>
    <row r="667" spans="1:11" ht="13.2">
      <c r="A667" s="82"/>
      <c r="B667" s="82"/>
      <c r="C667" s="117"/>
      <c r="E667" s="118"/>
      <c r="F667" s="82"/>
      <c r="G667" s="30"/>
      <c r="H667" s="30"/>
      <c r="I667" s="30"/>
      <c r="J667" s="30"/>
      <c r="K667" s="30"/>
    </row>
    <row r="668" spans="1:11" ht="13.2">
      <c r="A668" s="82"/>
      <c r="B668" s="82"/>
      <c r="C668" s="117"/>
      <c r="E668" s="118"/>
      <c r="F668" s="82"/>
      <c r="G668" s="30"/>
      <c r="H668" s="30"/>
      <c r="I668" s="30"/>
      <c r="J668" s="30"/>
      <c r="K668" s="30"/>
    </row>
    <row r="669" spans="1:11" ht="13.2">
      <c r="A669" s="82"/>
      <c r="B669" s="82"/>
      <c r="C669" s="117"/>
      <c r="E669" s="118"/>
      <c r="F669" s="82"/>
      <c r="G669" s="30"/>
      <c r="H669" s="30"/>
      <c r="I669" s="30"/>
      <c r="J669" s="30"/>
      <c r="K669" s="30"/>
    </row>
    <row r="670" spans="1:11" ht="13.2">
      <c r="A670" s="82"/>
      <c r="B670" s="82"/>
      <c r="C670" s="117"/>
      <c r="E670" s="118"/>
      <c r="F670" s="82"/>
      <c r="G670" s="30"/>
      <c r="H670" s="30"/>
      <c r="I670" s="30"/>
      <c r="J670" s="30"/>
      <c r="K670" s="30"/>
    </row>
    <row r="671" spans="1:11" ht="13.2">
      <c r="A671" s="82"/>
      <c r="B671" s="82"/>
      <c r="C671" s="117"/>
      <c r="E671" s="118"/>
      <c r="F671" s="82"/>
      <c r="G671" s="30"/>
      <c r="H671" s="30"/>
      <c r="I671" s="30"/>
      <c r="J671" s="30"/>
      <c r="K671" s="30"/>
    </row>
    <row r="672" spans="1:11" ht="13.2">
      <c r="A672" s="82"/>
      <c r="B672" s="82"/>
      <c r="C672" s="117"/>
      <c r="E672" s="118"/>
      <c r="F672" s="82"/>
      <c r="G672" s="30"/>
      <c r="H672" s="30"/>
      <c r="I672" s="30"/>
      <c r="J672" s="30"/>
      <c r="K672" s="30"/>
    </row>
    <row r="673" spans="1:11" ht="13.2">
      <c r="A673" s="82"/>
      <c r="B673" s="82"/>
      <c r="C673" s="117"/>
      <c r="E673" s="118"/>
      <c r="F673" s="82"/>
      <c r="G673" s="30"/>
      <c r="H673" s="30"/>
      <c r="I673" s="30"/>
      <c r="J673" s="30"/>
      <c r="K673" s="30"/>
    </row>
    <row r="674" spans="1:11" ht="13.2">
      <c r="A674" s="82"/>
      <c r="B674" s="82"/>
      <c r="C674" s="117"/>
      <c r="E674" s="118"/>
      <c r="F674" s="82"/>
      <c r="G674" s="30"/>
      <c r="H674" s="30"/>
      <c r="I674" s="30"/>
      <c r="J674" s="30"/>
      <c r="K674" s="30"/>
    </row>
    <row r="675" spans="1:11" ht="13.2">
      <c r="A675" s="82"/>
      <c r="B675" s="82"/>
      <c r="C675" s="117"/>
      <c r="E675" s="118"/>
      <c r="F675" s="82"/>
      <c r="G675" s="30"/>
      <c r="H675" s="30"/>
      <c r="I675" s="30"/>
      <c r="J675" s="30"/>
      <c r="K675" s="30"/>
    </row>
    <row r="676" spans="1:11" ht="13.2">
      <c r="A676" s="82"/>
      <c r="B676" s="82"/>
      <c r="C676" s="117"/>
      <c r="E676" s="118"/>
      <c r="F676" s="82"/>
      <c r="G676" s="30"/>
      <c r="H676" s="30"/>
      <c r="I676" s="30"/>
      <c r="J676" s="30"/>
      <c r="K676" s="30"/>
    </row>
    <row r="677" spans="1:11" ht="13.2">
      <c r="A677" s="82"/>
      <c r="B677" s="82"/>
      <c r="C677" s="117"/>
      <c r="E677" s="118"/>
      <c r="F677" s="82"/>
      <c r="G677" s="30"/>
      <c r="H677" s="30"/>
      <c r="I677" s="30"/>
      <c r="J677" s="30"/>
      <c r="K677" s="30"/>
    </row>
    <row r="678" spans="1:11" ht="13.2">
      <c r="A678" s="82"/>
      <c r="B678" s="82"/>
      <c r="C678" s="117"/>
      <c r="E678" s="118"/>
      <c r="F678" s="82"/>
      <c r="G678" s="30"/>
      <c r="H678" s="30"/>
      <c r="I678" s="30"/>
      <c r="J678" s="30"/>
      <c r="K678" s="30"/>
    </row>
    <row r="679" spans="1:11" ht="13.2">
      <c r="A679" s="82"/>
      <c r="B679" s="82"/>
      <c r="C679" s="117"/>
      <c r="E679" s="118"/>
      <c r="F679" s="82"/>
      <c r="G679" s="30"/>
      <c r="H679" s="30"/>
      <c r="I679" s="30"/>
      <c r="J679" s="30"/>
      <c r="K679" s="30"/>
    </row>
    <row r="680" spans="1:11" ht="13.2">
      <c r="A680" s="82"/>
      <c r="B680" s="82"/>
      <c r="C680" s="117"/>
      <c r="E680" s="118"/>
      <c r="F680" s="82"/>
      <c r="G680" s="30"/>
      <c r="H680" s="30"/>
      <c r="I680" s="30"/>
      <c r="J680" s="30"/>
      <c r="K680" s="30"/>
    </row>
    <row r="681" spans="1:11" ht="13.2">
      <c r="A681" s="82"/>
      <c r="B681" s="82"/>
      <c r="C681" s="117"/>
      <c r="E681" s="118"/>
      <c r="F681" s="82"/>
      <c r="G681" s="30"/>
      <c r="H681" s="30"/>
      <c r="I681" s="30"/>
      <c r="J681" s="30"/>
      <c r="K681" s="30"/>
    </row>
    <row r="682" spans="1:11" ht="13.2">
      <c r="A682" s="82"/>
      <c r="B682" s="82"/>
      <c r="C682" s="117"/>
      <c r="E682" s="118"/>
      <c r="F682" s="82"/>
      <c r="G682" s="30"/>
      <c r="H682" s="30"/>
      <c r="I682" s="30"/>
      <c r="J682" s="30"/>
      <c r="K682" s="30"/>
    </row>
    <row r="683" spans="1:11" ht="13.2">
      <c r="A683" s="82"/>
      <c r="B683" s="82"/>
      <c r="C683" s="117"/>
      <c r="E683" s="118"/>
      <c r="F683" s="82"/>
      <c r="G683" s="30"/>
      <c r="H683" s="30"/>
      <c r="I683" s="30"/>
      <c r="J683" s="30"/>
      <c r="K683" s="30"/>
    </row>
    <row r="684" spans="1:11" ht="13.2">
      <c r="A684" s="82"/>
      <c r="B684" s="82"/>
      <c r="C684" s="117"/>
      <c r="E684" s="118"/>
      <c r="F684" s="82"/>
      <c r="G684" s="30"/>
      <c r="H684" s="30"/>
      <c r="I684" s="30"/>
      <c r="J684" s="30"/>
      <c r="K684" s="30"/>
    </row>
    <row r="685" spans="1:11" ht="13.2">
      <c r="A685" s="82"/>
      <c r="B685" s="82"/>
      <c r="C685" s="117"/>
      <c r="E685" s="118"/>
      <c r="F685" s="82"/>
      <c r="G685" s="30"/>
      <c r="H685" s="30"/>
      <c r="I685" s="30"/>
      <c r="J685" s="30"/>
      <c r="K685" s="30"/>
    </row>
    <row r="686" spans="1:11" ht="13.2">
      <c r="A686" s="82"/>
      <c r="B686" s="82"/>
      <c r="C686" s="117"/>
      <c r="E686" s="118"/>
      <c r="F686" s="82"/>
      <c r="G686" s="30"/>
      <c r="H686" s="30"/>
      <c r="I686" s="30"/>
      <c r="J686" s="30"/>
      <c r="K686" s="30"/>
    </row>
    <row r="687" spans="1:11" ht="13.2">
      <c r="A687" s="82"/>
      <c r="B687" s="82"/>
      <c r="C687" s="117"/>
      <c r="E687" s="118"/>
      <c r="F687" s="82"/>
      <c r="G687" s="30"/>
      <c r="H687" s="30"/>
      <c r="I687" s="30"/>
      <c r="J687" s="30"/>
      <c r="K687" s="30"/>
    </row>
    <row r="688" spans="1:11" ht="13.2">
      <c r="A688" s="82"/>
      <c r="B688" s="82"/>
      <c r="C688" s="117"/>
      <c r="E688" s="118"/>
      <c r="F688" s="82"/>
      <c r="G688" s="30"/>
      <c r="H688" s="30"/>
      <c r="I688" s="30"/>
      <c r="J688" s="30"/>
      <c r="K688" s="30"/>
    </row>
    <row r="689" spans="1:11" ht="13.2">
      <c r="A689" s="82"/>
      <c r="B689" s="82"/>
      <c r="C689" s="117"/>
      <c r="E689" s="118"/>
      <c r="F689" s="82"/>
      <c r="G689" s="30"/>
      <c r="H689" s="30"/>
      <c r="I689" s="30"/>
      <c r="J689" s="30"/>
      <c r="K689" s="30"/>
    </row>
    <row r="690" spans="1:11" ht="13.2">
      <c r="A690" s="82"/>
      <c r="B690" s="82"/>
      <c r="C690" s="117"/>
      <c r="E690" s="118"/>
      <c r="F690" s="82"/>
      <c r="G690" s="30"/>
      <c r="H690" s="30"/>
      <c r="I690" s="30"/>
      <c r="J690" s="30"/>
      <c r="K690" s="30"/>
    </row>
    <row r="691" spans="1:11" ht="13.2">
      <c r="A691" s="82"/>
      <c r="B691" s="82"/>
      <c r="C691" s="117"/>
      <c r="E691" s="118"/>
      <c r="F691" s="82"/>
      <c r="G691" s="30"/>
      <c r="H691" s="30"/>
      <c r="I691" s="30"/>
      <c r="J691" s="30"/>
      <c r="K691" s="30"/>
    </row>
    <row r="692" spans="1:11" ht="13.2">
      <c r="A692" s="82"/>
      <c r="B692" s="82"/>
      <c r="C692" s="117"/>
      <c r="E692" s="118"/>
      <c r="F692" s="82"/>
      <c r="G692" s="30"/>
      <c r="H692" s="30"/>
      <c r="I692" s="30"/>
      <c r="J692" s="30"/>
      <c r="K692" s="30"/>
    </row>
    <row r="693" spans="1:11" ht="13.2">
      <c r="A693" s="82"/>
      <c r="B693" s="82"/>
      <c r="C693" s="117"/>
      <c r="E693" s="118"/>
      <c r="F693" s="82"/>
      <c r="G693" s="30"/>
      <c r="H693" s="30"/>
      <c r="I693" s="30"/>
      <c r="J693" s="30"/>
      <c r="K693" s="30"/>
    </row>
    <row r="694" spans="1:11" ht="13.2">
      <c r="A694" s="82"/>
      <c r="B694" s="82"/>
      <c r="C694" s="117"/>
      <c r="E694" s="118"/>
      <c r="F694" s="82"/>
      <c r="G694" s="30"/>
      <c r="H694" s="30"/>
      <c r="I694" s="30"/>
      <c r="J694" s="30"/>
      <c r="K694" s="30"/>
    </row>
    <row r="695" spans="1:11" ht="13.2">
      <c r="A695" s="82"/>
      <c r="B695" s="82"/>
      <c r="C695" s="117"/>
      <c r="E695" s="118"/>
      <c r="F695" s="82"/>
      <c r="G695" s="30"/>
      <c r="H695" s="30"/>
      <c r="I695" s="30"/>
      <c r="J695" s="30"/>
      <c r="K695" s="30"/>
    </row>
    <row r="696" spans="1:11" ht="13.2">
      <c r="A696" s="82"/>
      <c r="B696" s="82"/>
      <c r="C696" s="117"/>
      <c r="E696" s="118"/>
      <c r="F696" s="82"/>
      <c r="G696" s="30"/>
      <c r="H696" s="30"/>
      <c r="I696" s="30"/>
      <c r="J696" s="30"/>
      <c r="K696" s="30"/>
    </row>
    <row r="697" spans="1:11" ht="13.2">
      <c r="A697" s="82"/>
      <c r="B697" s="82"/>
      <c r="C697" s="117"/>
      <c r="E697" s="118"/>
      <c r="F697" s="82"/>
      <c r="G697" s="30"/>
      <c r="H697" s="30"/>
      <c r="I697" s="30"/>
      <c r="J697" s="30"/>
      <c r="K697" s="30"/>
    </row>
    <row r="698" spans="1:11" ht="13.2">
      <c r="A698" s="82"/>
      <c r="B698" s="82"/>
      <c r="C698" s="117"/>
      <c r="E698" s="118"/>
      <c r="F698" s="82"/>
      <c r="G698" s="30"/>
      <c r="H698" s="30"/>
      <c r="I698" s="30"/>
      <c r="J698" s="30"/>
      <c r="K698" s="30"/>
    </row>
    <row r="699" spans="1:11" ht="13.2">
      <c r="A699" s="82"/>
      <c r="B699" s="82"/>
      <c r="C699" s="117"/>
      <c r="E699" s="118"/>
      <c r="F699" s="82"/>
      <c r="G699" s="30"/>
      <c r="H699" s="30"/>
      <c r="I699" s="30"/>
      <c r="J699" s="30"/>
      <c r="K699" s="30"/>
    </row>
    <row r="700" spans="1:11" ht="13.2">
      <c r="A700" s="82"/>
      <c r="B700" s="82"/>
      <c r="C700" s="117"/>
      <c r="E700" s="118"/>
      <c r="F700" s="82"/>
      <c r="G700" s="30"/>
      <c r="H700" s="30"/>
      <c r="I700" s="30"/>
      <c r="J700" s="30"/>
      <c r="K700" s="30"/>
    </row>
    <row r="701" spans="1:11" ht="13.2">
      <c r="A701" s="82"/>
      <c r="B701" s="82"/>
      <c r="C701" s="117"/>
      <c r="E701" s="118"/>
      <c r="F701" s="82"/>
      <c r="G701" s="30"/>
      <c r="H701" s="30"/>
      <c r="I701" s="30"/>
      <c r="J701" s="30"/>
      <c r="K701" s="30"/>
    </row>
    <row r="702" spans="1:11" ht="13.2">
      <c r="A702" s="82"/>
      <c r="B702" s="82"/>
      <c r="C702" s="117"/>
      <c r="E702" s="118"/>
      <c r="F702" s="82"/>
      <c r="G702" s="30"/>
      <c r="H702" s="30"/>
      <c r="I702" s="30"/>
      <c r="J702" s="30"/>
      <c r="K702" s="30"/>
    </row>
    <row r="703" spans="1:11" ht="13.2">
      <c r="A703" s="82"/>
      <c r="B703" s="82"/>
      <c r="C703" s="117"/>
      <c r="E703" s="118"/>
      <c r="F703" s="82"/>
      <c r="G703" s="30"/>
      <c r="H703" s="30"/>
      <c r="I703" s="30"/>
      <c r="J703" s="30"/>
      <c r="K703" s="30"/>
    </row>
    <row r="704" spans="1:11" ht="13.2">
      <c r="A704" s="82"/>
      <c r="B704" s="82"/>
      <c r="C704" s="117"/>
      <c r="E704" s="118"/>
      <c r="F704" s="82"/>
      <c r="G704" s="30"/>
      <c r="H704" s="30"/>
      <c r="I704" s="30"/>
      <c r="J704" s="30"/>
      <c r="K704" s="30"/>
    </row>
    <row r="705" spans="1:11" ht="13.2">
      <c r="A705" s="82"/>
      <c r="B705" s="82"/>
      <c r="C705" s="117"/>
      <c r="E705" s="118"/>
      <c r="F705" s="82"/>
      <c r="G705" s="30"/>
      <c r="H705" s="30"/>
      <c r="I705" s="30"/>
      <c r="J705" s="30"/>
      <c r="K705" s="30"/>
    </row>
    <row r="706" spans="1:11" ht="13.2">
      <c r="A706" s="82"/>
      <c r="B706" s="82"/>
      <c r="C706" s="117"/>
      <c r="E706" s="118"/>
      <c r="F706" s="82"/>
      <c r="G706" s="30"/>
      <c r="H706" s="30"/>
      <c r="I706" s="30"/>
      <c r="J706" s="30"/>
      <c r="K706" s="30"/>
    </row>
    <row r="707" spans="1:11" ht="13.2">
      <c r="A707" s="82"/>
      <c r="B707" s="82"/>
      <c r="C707" s="117"/>
      <c r="E707" s="118"/>
      <c r="F707" s="82"/>
      <c r="G707" s="30"/>
      <c r="H707" s="30"/>
      <c r="I707" s="30"/>
      <c r="J707" s="30"/>
      <c r="K707" s="30"/>
    </row>
    <row r="708" spans="1:11" ht="13.2">
      <c r="A708" s="82"/>
      <c r="B708" s="82"/>
      <c r="C708" s="117"/>
      <c r="E708" s="118"/>
      <c r="F708" s="82"/>
      <c r="G708" s="30"/>
      <c r="H708" s="30"/>
      <c r="I708" s="30"/>
      <c r="J708" s="30"/>
      <c r="K708" s="30"/>
    </row>
    <row r="709" spans="1:11" ht="13.2">
      <c r="A709" s="82"/>
      <c r="B709" s="82"/>
      <c r="C709" s="117"/>
      <c r="E709" s="118"/>
      <c r="F709" s="82"/>
      <c r="G709" s="30"/>
      <c r="H709" s="30"/>
      <c r="I709" s="30"/>
      <c r="J709" s="30"/>
      <c r="K709" s="30"/>
    </row>
    <row r="710" spans="1:11" ht="13.2">
      <c r="A710" s="82"/>
      <c r="B710" s="82"/>
      <c r="C710" s="117"/>
      <c r="E710" s="118"/>
      <c r="F710" s="82"/>
      <c r="G710" s="30"/>
      <c r="H710" s="30"/>
      <c r="I710" s="30"/>
      <c r="J710" s="30"/>
      <c r="K710" s="30"/>
    </row>
    <row r="711" spans="1:11" ht="13.2">
      <c r="A711" s="82"/>
      <c r="B711" s="82"/>
      <c r="C711" s="117"/>
      <c r="E711" s="118"/>
      <c r="F711" s="82"/>
      <c r="G711" s="30"/>
      <c r="H711" s="30"/>
      <c r="I711" s="30"/>
      <c r="J711" s="30"/>
      <c r="K711" s="30"/>
    </row>
    <row r="712" spans="1:11" ht="13.2">
      <c r="A712" s="82"/>
      <c r="B712" s="82"/>
      <c r="C712" s="117"/>
      <c r="E712" s="118"/>
      <c r="F712" s="82"/>
      <c r="G712" s="30"/>
      <c r="H712" s="30"/>
      <c r="I712" s="30"/>
      <c r="J712" s="30"/>
      <c r="K712" s="30"/>
    </row>
    <row r="713" spans="1:11" ht="13.2">
      <c r="A713" s="82"/>
      <c r="B713" s="82"/>
      <c r="C713" s="117"/>
      <c r="E713" s="118"/>
      <c r="F713" s="82"/>
      <c r="G713" s="30"/>
      <c r="H713" s="30"/>
      <c r="I713" s="30"/>
      <c r="J713" s="30"/>
      <c r="K713" s="30"/>
    </row>
    <row r="714" spans="1:11" ht="13.2">
      <c r="A714" s="82"/>
      <c r="B714" s="82"/>
      <c r="C714" s="117"/>
      <c r="E714" s="118"/>
      <c r="F714" s="82"/>
      <c r="G714" s="30"/>
      <c r="H714" s="30"/>
      <c r="I714" s="30"/>
      <c r="J714" s="30"/>
      <c r="K714" s="30"/>
    </row>
    <row r="715" spans="1:11" ht="13.2">
      <c r="A715" s="82"/>
      <c r="B715" s="82"/>
      <c r="C715" s="117"/>
      <c r="E715" s="118"/>
      <c r="F715" s="82"/>
      <c r="G715" s="30"/>
      <c r="H715" s="30"/>
      <c r="I715" s="30"/>
      <c r="J715" s="30"/>
      <c r="K715" s="30"/>
    </row>
    <row r="716" spans="1:11" ht="13.2">
      <c r="A716" s="82"/>
      <c r="B716" s="82"/>
      <c r="C716" s="117"/>
      <c r="E716" s="118"/>
      <c r="F716" s="82"/>
      <c r="G716" s="30"/>
      <c r="H716" s="30"/>
      <c r="I716" s="30"/>
      <c r="J716" s="30"/>
      <c r="K716" s="30"/>
    </row>
    <row r="717" spans="1:11" ht="13.2">
      <c r="A717" s="82"/>
      <c r="B717" s="82"/>
      <c r="C717" s="117"/>
      <c r="E717" s="118"/>
      <c r="F717" s="82"/>
      <c r="G717" s="30"/>
      <c r="H717" s="30"/>
      <c r="I717" s="30"/>
      <c r="J717" s="30"/>
      <c r="K717" s="30"/>
    </row>
    <row r="718" spans="1:11" ht="13.2">
      <c r="A718" s="82"/>
      <c r="B718" s="82"/>
      <c r="C718" s="117"/>
      <c r="E718" s="118"/>
      <c r="F718" s="82"/>
      <c r="G718" s="30"/>
      <c r="H718" s="30"/>
      <c r="I718" s="30"/>
      <c r="J718" s="30"/>
      <c r="K718" s="30"/>
    </row>
    <row r="719" spans="1:11" ht="13.2">
      <c r="A719" s="82"/>
      <c r="B719" s="82"/>
      <c r="C719" s="117"/>
      <c r="E719" s="118"/>
      <c r="F719" s="82"/>
      <c r="G719" s="30"/>
      <c r="H719" s="30"/>
      <c r="I719" s="30"/>
      <c r="J719" s="30"/>
      <c r="K719" s="30"/>
    </row>
    <row r="720" spans="1:11" ht="13.2">
      <c r="A720" s="82"/>
      <c r="B720" s="82"/>
      <c r="C720" s="117"/>
      <c r="E720" s="118"/>
      <c r="F720" s="82"/>
      <c r="G720" s="30"/>
      <c r="H720" s="30"/>
      <c r="I720" s="30"/>
      <c r="J720" s="30"/>
      <c r="K720" s="30"/>
    </row>
    <row r="721" spans="1:11" ht="13.2">
      <c r="A721" s="82"/>
      <c r="B721" s="82"/>
      <c r="C721" s="117"/>
      <c r="E721" s="118"/>
      <c r="F721" s="82"/>
      <c r="G721" s="30"/>
      <c r="H721" s="30"/>
      <c r="I721" s="30"/>
      <c r="J721" s="30"/>
      <c r="K721" s="30"/>
    </row>
    <row r="722" spans="1:11" ht="13.2">
      <c r="A722" s="82"/>
      <c r="B722" s="82"/>
      <c r="C722" s="117"/>
      <c r="E722" s="118"/>
      <c r="F722" s="82"/>
      <c r="G722" s="30"/>
      <c r="H722" s="30"/>
      <c r="I722" s="30"/>
      <c r="J722" s="30"/>
      <c r="K722" s="30"/>
    </row>
    <row r="723" spans="1:11" ht="13.2">
      <c r="A723" s="82"/>
      <c r="B723" s="82"/>
      <c r="C723" s="117"/>
      <c r="E723" s="118"/>
      <c r="F723" s="82"/>
      <c r="G723" s="30"/>
      <c r="H723" s="30"/>
      <c r="I723" s="30"/>
      <c r="J723" s="30"/>
      <c r="K723" s="30"/>
    </row>
    <row r="724" spans="1:11" ht="13.2">
      <c r="A724" s="82"/>
      <c r="B724" s="82"/>
      <c r="C724" s="117"/>
      <c r="E724" s="118"/>
      <c r="F724" s="82"/>
      <c r="G724" s="30"/>
      <c r="H724" s="30"/>
      <c r="I724" s="30"/>
      <c r="J724" s="30"/>
      <c r="K724" s="30"/>
    </row>
    <row r="725" spans="1:11" ht="13.2">
      <c r="A725" s="82"/>
      <c r="B725" s="82"/>
      <c r="C725" s="117"/>
      <c r="E725" s="118"/>
      <c r="F725" s="82"/>
      <c r="G725" s="30"/>
      <c r="H725" s="30"/>
      <c r="I725" s="30"/>
      <c r="J725" s="30"/>
      <c r="K725" s="30"/>
    </row>
    <row r="726" spans="1:11" ht="13.2">
      <c r="A726" s="82"/>
      <c r="B726" s="82"/>
      <c r="C726" s="117"/>
      <c r="E726" s="118"/>
      <c r="F726" s="82"/>
      <c r="G726" s="30"/>
      <c r="H726" s="30"/>
      <c r="I726" s="30"/>
      <c r="J726" s="30"/>
      <c r="K726" s="30"/>
    </row>
    <row r="727" spans="1:11" ht="13.2">
      <c r="A727" s="82"/>
      <c r="B727" s="82"/>
      <c r="C727" s="117"/>
      <c r="E727" s="118"/>
      <c r="F727" s="82"/>
      <c r="G727" s="30"/>
      <c r="H727" s="30"/>
      <c r="I727" s="30"/>
      <c r="J727" s="30"/>
      <c r="K727" s="30"/>
    </row>
    <row r="728" spans="1:11" ht="13.2">
      <c r="A728" s="82"/>
      <c r="B728" s="82"/>
      <c r="C728" s="117"/>
      <c r="E728" s="118"/>
      <c r="F728" s="82"/>
      <c r="G728" s="30"/>
      <c r="H728" s="30"/>
      <c r="I728" s="30"/>
      <c r="J728" s="30"/>
      <c r="K728" s="30"/>
    </row>
    <row r="729" spans="1:11" ht="13.2">
      <c r="A729" s="82"/>
      <c r="B729" s="82"/>
      <c r="C729" s="117"/>
      <c r="E729" s="118"/>
      <c r="F729" s="82"/>
      <c r="G729" s="30"/>
      <c r="H729" s="30"/>
      <c r="I729" s="30"/>
      <c r="J729" s="30"/>
      <c r="K729" s="30"/>
    </row>
    <row r="730" spans="1:11" ht="13.2">
      <c r="A730" s="82"/>
      <c r="B730" s="82"/>
      <c r="C730" s="117"/>
      <c r="E730" s="118"/>
      <c r="F730" s="82"/>
      <c r="G730" s="30"/>
      <c r="H730" s="30"/>
      <c r="I730" s="30"/>
      <c r="J730" s="30"/>
      <c r="K730" s="30"/>
    </row>
    <row r="731" spans="1:11" ht="13.2">
      <c r="A731" s="82"/>
      <c r="B731" s="82"/>
      <c r="C731" s="117"/>
      <c r="E731" s="118"/>
      <c r="F731" s="82"/>
      <c r="G731" s="30"/>
      <c r="H731" s="30"/>
      <c r="I731" s="30"/>
      <c r="J731" s="30"/>
      <c r="K731" s="30"/>
    </row>
    <row r="732" spans="1:11" ht="13.2">
      <c r="A732" s="82"/>
      <c r="B732" s="82"/>
      <c r="C732" s="117"/>
      <c r="E732" s="118"/>
      <c r="F732" s="82"/>
      <c r="G732" s="30"/>
      <c r="H732" s="30"/>
      <c r="I732" s="30"/>
      <c r="J732" s="30"/>
      <c r="K732" s="30"/>
    </row>
    <row r="733" spans="1:11" ht="13.2">
      <c r="A733" s="82"/>
      <c r="B733" s="82"/>
      <c r="C733" s="117"/>
      <c r="E733" s="118"/>
      <c r="F733" s="82"/>
      <c r="G733" s="30"/>
      <c r="H733" s="30"/>
      <c r="I733" s="30"/>
      <c r="J733" s="30"/>
      <c r="K733" s="30"/>
    </row>
    <row r="734" spans="1:11" ht="13.2">
      <c r="A734" s="82"/>
      <c r="B734" s="82"/>
      <c r="C734" s="117"/>
      <c r="E734" s="118"/>
      <c r="F734" s="82"/>
      <c r="G734" s="30"/>
      <c r="H734" s="30"/>
      <c r="I734" s="30"/>
      <c r="J734" s="30"/>
      <c r="K734" s="30"/>
    </row>
    <row r="735" spans="1:11" ht="13.2">
      <c r="A735" s="82"/>
      <c r="B735" s="82"/>
      <c r="C735" s="117"/>
      <c r="E735" s="118"/>
      <c r="F735" s="82"/>
      <c r="G735" s="30"/>
      <c r="H735" s="30"/>
      <c r="I735" s="30"/>
      <c r="J735" s="30"/>
      <c r="K735" s="30"/>
    </row>
    <row r="736" spans="1:11" ht="13.2">
      <c r="A736" s="82"/>
      <c r="B736" s="82"/>
      <c r="C736" s="117"/>
      <c r="E736" s="118"/>
      <c r="F736" s="82"/>
      <c r="G736" s="30"/>
      <c r="H736" s="30"/>
      <c r="I736" s="30"/>
      <c r="J736" s="30"/>
      <c r="K736" s="30"/>
    </row>
    <row r="737" spans="1:11" ht="13.2">
      <c r="A737" s="82"/>
      <c r="B737" s="82"/>
      <c r="C737" s="117"/>
      <c r="E737" s="118"/>
      <c r="F737" s="82"/>
      <c r="G737" s="30"/>
      <c r="H737" s="30"/>
      <c r="I737" s="30"/>
      <c r="J737" s="30"/>
      <c r="K737" s="30"/>
    </row>
    <row r="738" spans="1:11" ht="13.2">
      <c r="A738" s="82"/>
      <c r="B738" s="82"/>
      <c r="C738" s="117"/>
      <c r="E738" s="118"/>
      <c r="F738" s="82"/>
      <c r="G738" s="30"/>
      <c r="H738" s="30"/>
      <c r="I738" s="30"/>
      <c r="J738" s="30"/>
      <c r="K738" s="30"/>
    </row>
    <row r="739" spans="1:11" ht="13.2">
      <c r="A739" s="82"/>
      <c r="B739" s="82"/>
      <c r="C739" s="117"/>
      <c r="E739" s="118"/>
      <c r="F739" s="82"/>
      <c r="G739" s="30"/>
      <c r="H739" s="30"/>
      <c r="I739" s="30"/>
      <c r="J739" s="30"/>
      <c r="K739" s="30"/>
    </row>
    <row r="740" spans="1:11" ht="13.2">
      <c r="A740" s="82"/>
      <c r="B740" s="82"/>
      <c r="C740" s="117"/>
      <c r="E740" s="118"/>
      <c r="F740" s="82"/>
      <c r="G740" s="30"/>
      <c r="H740" s="30"/>
      <c r="I740" s="30"/>
      <c r="J740" s="30"/>
      <c r="K740" s="30"/>
    </row>
    <row r="741" spans="1:11" ht="13.2">
      <c r="A741" s="82"/>
      <c r="B741" s="82"/>
      <c r="C741" s="117"/>
      <c r="E741" s="118"/>
      <c r="F741" s="82"/>
      <c r="G741" s="30"/>
      <c r="H741" s="30"/>
      <c r="I741" s="30"/>
      <c r="J741" s="30"/>
      <c r="K741" s="30"/>
    </row>
    <row r="742" spans="1:11" ht="13.2">
      <c r="A742" s="82"/>
      <c r="B742" s="82"/>
      <c r="C742" s="117"/>
      <c r="E742" s="118"/>
      <c r="F742" s="82"/>
      <c r="G742" s="30"/>
      <c r="H742" s="30"/>
      <c r="I742" s="30"/>
      <c r="J742" s="30"/>
      <c r="K742" s="30"/>
    </row>
    <row r="743" spans="1:11" ht="13.2">
      <c r="A743" s="82"/>
      <c r="B743" s="82"/>
      <c r="C743" s="117"/>
      <c r="E743" s="118"/>
      <c r="F743" s="82"/>
      <c r="G743" s="30"/>
      <c r="H743" s="30"/>
      <c r="I743" s="30"/>
      <c r="J743" s="30"/>
      <c r="K743" s="30"/>
    </row>
    <row r="744" spans="1:11" ht="13.2">
      <c r="A744" s="82"/>
      <c r="B744" s="82"/>
      <c r="C744" s="117"/>
      <c r="E744" s="118"/>
      <c r="F744" s="82"/>
      <c r="G744" s="30"/>
      <c r="H744" s="30"/>
      <c r="I744" s="30"/>
      <c r="J744" s="30"/>
      <c r="K744" s="30"/>
    </row>
    <row r="745" spans="1:11" ht="13.2">
      <c r="A745" s="82"/>
      <c r="B745" s="82"/>
      <c r="C745" s="117"/>
      <c r="E745" s="118"/>
      <c r="F745" s="82"/>
      <c r="G745" s="30"/>
      <c r="H745" s="30"/>
      <c r="I745" s="30"/>
      <c r="J745" s="30"/>
      <c r="K745" s="30"/>
    </row>
    <row r="746" spans="1:11" ht="13.2">
      <c r="A746" s="82"/>
      <c r="B746" s="82"/>
      <c r="C746" s="117"/>
      <c r="E746" s="118"/>
      <c r="F746" s="82"/>
      <c r="G746" s="30"/>
      <c r="H746" s="30"/>
      <c r="I746" s="30"/>
      <c r="J746" s="30"/>
      <c r="K746" s="30"/>
    </row>
    <row r="747" spans="1:11" ht="13.2">
      <c r="A747" s="82"/>
      <c r="B747" s="82"/>
      <c r="C747" s="117"/>
      <c r="E747" s="118"/>
      <c r="F747" s="82"/>
      <c r="G747" s="30"/>
      <c r="H747" s="30"/>
      <c r="I747" s="30"/>
      <c r="J747" s="30"/>
      <c r="K747" s="30"/>
    </row>
    <row r="748" spans="1:11" ht="13.2">
      <c r="A748" s="82"/>
      <c r="B748" s="82"/>
      <c r="C748" s="117"/>
      <c r="E748" s="118"/>
      <c r="F748" s="82"/>
      <c r="G748" s="30"/>
      <c r="H748" s="30"/>
      <c r="I748" s="30"/>
      <c r="J748" s="30"/>
      <c r="K748" s="30"/>
    </row>
    <row r="749" spans="1:11" ht="13.2">
      <c r="A749" s="82"/>
      <c r="B749" s="82"/>
      <c r="C749" s="117"/>
      <c r="E749" s="118"/>
      <c r="F749" s="82"/>
      <c r="G749" s="30"/>
      <c r="H749" s="30"/>
      <c r="I749" s="30"/>
      <c r="J749" s="30"/>
      <c r="K749" s="30"/>
    </row>
    <row r="750" spans="1:11" ht="13.2">
      <c r="A750" s="82"/>
      <c r="B750" s="82"/>
      <c r="C750" s="117"/>
      <c r="E750" s="118"/>
      <c r="F750" s="82"/>
      <c r="G750" s="30"/>
      <c r="H750" s="30"/>
      <c r="I750" s="30"/>
      <c r="J750" s="30"/>
      <c r="K750" s="30"/>
    </row>
    <row r="751" spans="1:11" ht="13.2">
      <c r="A751" s="82"/>
      <c r="B751" s="82"/>
      <c r="C751" s="117"/>
      <c r="E751" s="118"/>
      <c r="F751" s="82"/>
      <c r="G751" s="30"/>
      <c r="H751" s="30"/>
      <c r="I751" s="30"/>
      <c r="J751" s="30"/>
      <c r="K751" s="30"/>
    </row>
    <row r="752" spans="1:11" ht="13.2">
      <c r="A752" s="82"/>
      <c r="B752" s="82"/>
      <c r="C752" s="117"/>
      <c r="E752" s="118"/>
      <c r="F752" s="82"/>
      <c r="G752" s="30"/>
      <c r="H752" s="30"/>
      <c r="I752" s="30"/>
      <c r="J752" s="30"/>
      <c r="K752" s="30"/>
    </row>
    <row r="753" spans="1:11" ht="13.2">
      <c r="A753" s="82"/>
      <c r="B753" s="82"/>
      <c r="C753" s="117"/>
      <c r="E753" s="118"/>
      <c r="F753" s="82"/>
      <c r="G753" s="30"/>
      <c r="H753" s="30"/>
      <c r="I753" s="30"/>
      <c r="J753" s="30"/>
      <c r="K753" s="30"/>
    </row>
    <row r="754" spans="1:11" ht="13.2">
      <c r="A754" s="82"/>
      <c r="B754" s="82"/>
      <c r="C754" s="117"/>
      <c r="E754" s="118"/>
      <c r="F754" s="82"/>
      <c r="G754" s="30"/>
      <c r="H754" s="30"/>
      <c r="I754" s="30"/>
      <c r="J754" s="30"/>
      <c r="K754" s="30"/>
    </row>
    <row r="755" spans="1:11" ht="13.2">
      <c r="A755" s="82"/>
      <c r="B755" s="82"/>
      <c r="C755" s="117"/>
      <c r="E755" s="118"/>
      <c r="F755" s="82"/>
      <c r="G755" s="30"/>
      <c r="H755" s="30"/>
      <c r="I755" s="30"/>
      <c r="J755" s="30"/>
      <c r="K755" s="30"/>
    </row>
    <row r="756" spans="1:11" ht="13.2">
      <c r="A756" s="82"/>
      <c r="B756" s="82"/>
      <c r="C756" s="117"/>
      <c r="E756" s="118"/>
      <c r="F756" s="82"/>
      <c r="G756" s="30"/>
      <c r="H756" s="30"/>
      <c r="I756" s="30"/>
      <c r="J756" s="30"/>
      <c r="K756" s="30"/>
    </row>
    <row r="757" spans="1:11" ht="13.2">
      <c r="A757" s="82"/>
      <c r="B757" s="82"/>
      <c r="C757" s="117"/>
      <c r="E757" s="118"/>
      <c r="F757" s="82"/>
      <c r="G757" s="30"/>
      <c r="H757" s="30"/>
      <c r="I757" s="30"/>
      <c r="J757" s="30"/>
      <c r="K757" s="30"/>
    </row>
    <row r="758" spans="1:11" ht="13.2">
      <c r="A758" s="82"/>
      <c r="B758" s="82"/>
      <c r="C758" s="117"/>
      <c r="E758" s="118"/>
      <c r="F758" s="82"/>
      <c r="G758" s="30"/>
      <c r="H758" s="30"/>
      <c r="I758" s="30"/>
      <c r="J758" s="30"/>
      <c r="K758" s="30"/>
    </row>
    <row r="759" spans="1:11" ht="13.2">
      <c r="A759" s="82"/>
      <c r="B759" s="82"/>
      <c r="C759" s="117"/>
      <c r="E759" s="118"/>
      <c r="F759" s="82"/>
      <c r="G759" s="30"/>
      <c r="H759" s="30"/>
      <c r="I759" s="30"/>
      <c r="J759" s="30"/>
      <c r="K759" s="30"/>
    </row>
    <row r="760" spans="1:11" ht="13.2">
      <c r="A760" s="82"/>
      <c r="B760" s="82"/>
      <c r="C760" s="117"/>
      <c r="E760" s="118"/>
      <c r="F760" s="82"/>
      <c r="G760" s="30"/>
      <c r="H760" s="30"/>
      <c r="I760" s="30"/>
      <c r="J760" s="30"/>
      <c r="K760" s="30"/>
    </row>
    <row r="761" spans="1:11" ht="13.2">
      <c r="A761" s="82"/>
      <c r="B761" s="82"/>
      <c r="C761" s="117"/>
      <c r="E761" s="118"/>
      <c r="F761" s="82"/>
      <c r="G761" s="30"/>
      <c r="H761" s="30"/>
      <c r="I761" s="30"/>
      <c r="J761" s="30"/>
      <c r="K761" s="30"/>
    </row>
    <row r="762" spans="1:11" ht="13.2">
      <c r="A762" s="82"/>
      <c r="B762" s="82"/>
      <c r="C762" s="117"/>
      <c r="E762" s="118"/>
      <c r="F762" s="82"/>
      <c r="G762" s="30"/>
      <c r="H762" s="30"/>
      <c r="I762" s="30"/>
      <c r="J762" s="30"/>
      <c r="K762" s="30"/>
    </row>
    <row r="763" spans="1:11" ht="13.2">
      <c r="A763" s="82"/>
      <c r="B763" s="82"/>
      <c r="C763" s="117"/>
      <c r="E763" s="118"/>
      <c r="F763" s="82"/>
      <c r="G763" s="30"/>
      <c r="H763" s="30"/>
      <c r="I763" s="30"/>
      <c r="J763" s="30"/>
      <c r="K763" s="30"/>
    </row>
    <row r="764" spans="1:11" ht="13.2">
      <c r="A764" s="82"/>
      <c r="B764" s="82"/>
      <c r="C764" s="117"/>
      <c r="E764" s="118"/>
      <c r="F764" s="82"/>
      <c r="G764" s="30"/>
      <c r="H764" s="30"/>
      <c r="I764" s="30"/>
      <c r="J764" s="30"/>
      <c r="K764" s="30"/>
    </row>
    <row r="765" spans="1:11" ht="13.2">
      <c r="A765" s="82"/>
      <c r="B765" s="82"/>
      <c r="C765" s="117"/>
      <c r="E765" s="118"/>
      <c r="F765" s="82"/>
      <c r="G765" s="30"/>
      <c r="H765" s="30"/>
      <c r="I765" s="30"/>
      <c r="J765" s="30"/>
      <c r="K765" s="30"/>
    </row>
    <row r="766" spans="1:11" ht="13.2">
      <c r="A766" s="82"/>
      <c r="B766" s="82"/>
      <c r="C766" s="117"/>
      <c r="E766" s="118"/>
      <c r="F766" s="82"/>
      <c r="G766" s="30"/>
      <c r="H766" s="30"/>
      <c r="I766" s="30"/>
      <c r="J766" s="30"/>
      <c r="K766" s="30"/>
    </row>
    <row r="767" spans="1:11" ht="13.2">
      <c r="A767" s="82"/>
      <c r="B767" s="82"/>
      <c r="C767" s="117"/>
      <c r="E767" s="118"/>
      <c r="F767" s="82"/>
      <c r="G767" s="30"/>
      <c r="H767" s="30"/>
      <c r="I767" s="30"/>
      <c r="J767" s="30"/>
      <c r="K767" s="30"/>
    </row>
    <row r="768" spans="1:11" ht="13.2">
      <c r="A768" s="82"/>
      <c r="B768" s="82"/>
      <c r="C768" s="117"/>
      <c r="E768" s="118"/>
      <c r="F768" s="82"/>
      <c r="G768" s="30"/>
      <c r="H768" s="30"/>
      <c r="I768" s="30"/>
      <c r="J768" s="30"/>
      <c r="K768" s="30"/>
    </row>
    <row r="769" spans="1:11" ht="13.2">
      <c r="A769" s="82"/>
      <c r="B769" s="82"/>
      <c r="C769" s="117"/>
      <c r="E769" s="118"/>
      <c r="F769" s="82"/>
      <c r="G769" s="30"/>
      <c r="H769" s="30"/>
      <c r="I769" s="30"/>
      <c r="J769" s="30"/>
      <c r="K769" s="30"/>
    </row>
    <row r="770" spans="1:11" ht="13.2">
      <c r="A770" s="82"/>
      <c r="B770" s="82"/>
      <c r="C770" s="117"/>
      <c r="E770" s="118"/>
      <c r="F770" s="82"/>
      <c r="G770" s="30"/>
      <c r="H770" s="30"/>
      <c r="I770" s="30"/>
      <c r="J770" s="30"/>
      <c r="K770" s="30"/>
    </row>
    <row r="771" spans="1:11" ht="13.2">
      <c r="A771" s="82"/>
      <c r="B771" s="82"/>
      <c r="C771" s="117"/>
      <c r="E771" s="118"/>
      <c r="F771" s="82"/>
      <c r="G771" s="30"/>
      <c r="H771" s="30"/>
      <c r="I771" s="30"/>
      <c r="J771" s="30"/>
      <c r="K771" s="30"/>
    </row>
    <row r="772" spans="1:11" ht="13.2">
      <c r="A772" s="82"/>
      <c r="B772" s="82"/>
      <c r="C772" s="117"/>
      <c r="E772" s="118"/>
      <c r="F772" s="82"/>
      <c r="G772" s="30"/>
      <c r="H772" s="30"/>
      <c r="I772" s="30"/>
      <c r="J772" s="30"/>
      <c r="K772" s="30"/>
    </row>
    <row r="773" spans="1:11" ht="13.2">
      <c r="A773" s="82"/>
      <c r="B773" s="82"/>
      <c r="C773" s="117"/>
      <c r="E773" s="118"/>
      <c r="F773" s="82"/>
      <c r="G773" s="30"/>
      <c r="H773" s="30"/>
      <c r="I773" s="30"/>
      <c r="J773" s="30"/>
      <c r="K773" s="30"/>
    </row>
    <row r="774" spans="1:11" ht="13.2">
      <c r="A774" s="82"/>
      <c r="B774" s="82"/>
      <c r="C774" s="117"/>
      <c r="E774" s="118"/>
      <c r="F774" s="82"/>
      <c r="G774" s="30"/>
      <c r="H774" s="30"/>
      <c r="I774" s="30"/>
      <c r="J774" s="30"/>
      <c r="K774" s="30"/>
    </row>
    <row r="775" spans="1:11" ht="13.2">
      <c r="A775" s="82"/>
      <c r="B775" s="82"/>
      <c r="C775" s="117"/>
      <c r="E775" s="118"/>
      <c r="F775" s="82"/>
      <c r="G775" s="30"/>
      <c r="H775" s="30"/>
      <c r="I775" s="30"/>
      <c r="J775" s="30"/>
      <c r="K775" s="30"/>
    </row>
    <row r="776" spans="1:11" ht="13.2">
      <c r="A776" s="82"/>
      <c r="B776" s="82"/>
      <c r="C776" s="117"/>
      <c r="E776" s="118"/>
      <c r="F776" s="82"/>
      <c r="G776" s="30"/>
      <c r="H776" s="30"/>
      <c r="I776" s="30"/>
      <c r="J776" s="30"/>
      <c r="K776" s="30"/>
    </row>
    <row r="777" spans="1:11" ht="13.2">
      <c r="A777" s="82"/>
      <c r="B777" s="82"/>
      <c r="C777" s="117"/>
      <c r="E777" s="118"/>
      <c r="F777" s="82"/>
      <c r="G777" s="30"/>
      <c r="H777" s="30"/>
      <c r="I777" s="30"/>
      <c r="J777" s="30"/>
      <c r="K777" s="30"/>
    </row>
    <row r="778" spans="1:11" ht="13.2">
      <c r="A778" s="82"/>
      <c r="B778" s="82"/>
      <c r="C778" s="117"/>
      <c r="E778" s="118"/>
      <c r="F778" s="82"/>
      <c r="G778" s="30"/>
      <c r="H778" s="30"/>
      <c r="I778" s="30"/>
      <c r="J778" s="30"/>
      <c r="K778" s="30"/>
    </row>
    <row r="779" spans="1:11" ht="13.2">
      <c r="A779" s="82"/>
      <c r="B779" s="82"/>
      <c r="C779" s="117"/>
      <c r="E779" s="118"/>
      <c r="F779" s="82"/>
      <c r="G779" s="30"/>
      <c r="H779" s="30"/>
      <c r="I779" s="30"/>
      <c r="J779" s="30"/>
      <c r="K779" s="30"/>
    </row>
    <row r="780" spans="1:11" ht="13.2">
      <c r="A780" s="82"/>
      <c r="B780" s="82"/>
      <c r="C780" s="117"/>
      <c r="E780" s="118"/>
      <c r="F780" s="82"/>
      <c r="G780" s="30"/>
      <c r="H780" s="30"/>
      <c r="I780" s="30"/>
      <c r="J780" s="30"/>
      <c r="K780" s="30"/>
    </row>
    <row r="781" spans="1:11" ht="13.2">
      <c r="A781" s="82"/>
      <c r="B781" s="82"/>
      <c r="C781" s="117"/>
      <c r="E781" s="118"/>
      <c r="F781" s="82"/>
      <c r="G781" s="30"/>
      <c r="H781" s="30"/>
      <c r="I781" s="30"/>
      <c r="J781" s="30"/>
      <c r="K781" s="30"/>
    </row>
    <row r="782" spans="1:11" ht="13.2">
      <c r="A782" s="82"/>
      <c r="B782" s="82"/>
      <c r="C782" s="117"/>
      <c r="E782" s="118"/>
      <c r="F782" s="82"/>
      <c r="G782" s="30"/>
      <c r="H782" s="30"/>
      <c r="I782" s="30"/>
      <c r="J782" s="30"/>
      <c r="K782" s="30"/>
    </row>
    <row r="783" spans="1:11" ht="13.2">
      <c r="A783" s="82"/>
      <c r="B783" s="82"/>
      <c r="C783" s="117"/>
      <c r="E783" s="118"/>
      <c r="F783" s="82"/>
      <c r="G783" s="30"/>
      <c r="H783" s="30"/>
      <c r="I783" s="30"/>
      <c r="J783" s="30"/>
      <c r="K783" s="30"/>
    </row>
    <row r="784" spans="1:11" ht="13.2">
      <c r="A784" s="82"/>
      <c r="B784" s="82"/>
      <c r="C784" s="117"/>
      <c r="E784" s="118"/>
      <c r="F784" s="82"/>
      <c r="G784" s="30"/>
      <c r="H784" s="30"/>
      <c r="I784" s="30"/>
      <c r="J784" s="30"/>
      <c r="K784" s="30"/>
    </row>
    <row r="785" spans="1:11" ht="13.2">
      <c r="A785" s="82"/>
      <c r="B785" s="82"/>
      <c r="C785" s="117"/>
      <c r="E785" s="118"/>
      <c r="F785" s="82"/>
      <c r="G785" s="30"/>
      <c r="H785" s="30"/>
      <c r="I785" s="30"/>
      <c r="J785" s="30"/>
      <c r="K785" s="30"/>
    </row>
    <row r="786" spans="1:11" ht="13.2">
      <c r="A786" s="82"/>
      <c r="B786" s="82"/>
      <c r="C786" s="117"/>
      <c r="E786" s="118"/>
      <c r="F786" s="82"/>
      <c r="G786" s="30"/>
      <c r="H786" s="30"/>
      <c r="I786" s="30"/>
      <c r="J786" s="30"/>
      <c r="K786" s="30"/>
    </row>
    <row r="787" spans="1:11" ht="13.2">
      <c r="A787" s="82"/>
      <c r="B787" s="82"/>
      <c r="C787" s="117"/>
      <c r="E787" s="118"/>
      <c r="F787" s="82"/>
      <c r="G787" s="30"/>
      <c r="H787" s="30"/>
      <c r="I787" s="30"/>
      <c r="J787" s="30"/>
      <c r="K787" s="30"/>
    </row>
    <row r="788" spans="1:11" ht="13.2">
      <c r="A788" s="82"/>
      <c r="B788" s="82"/>
      <c r="C788" s="117"/>
      <c r="E788" s="118"/>
      <c r="F788" s="82"/>
      <c r="G788" s="30"/>
      <c r="H788" s="30"/>
      <c r="I788" s="30"/>
      <c r="J788" s="30"/>
      <c r="K788" s="30"/>
    </row>
    <row r="789" spans="1:11" ht="13.2">
      <c r="A789" s="82"/>
      <c r="B789" s="82"/>
      <c r="C789" s="117"/>
      <c r="E789" s="118"/>
      <c r="F789" s="82"/>
      <c r="G789" s="30"/>
      <c r="H789" s="30"/>
      <c r="I789" s="30"/>
      <c r="J789" s="30"/>
      <c r="K789" s="30"/>
    </row>
    <row r="790" spans="1:11" ht="13.2">
      <c r="A790" s="82"/>
      <c r="B790" s="82"/>
      <c r="C790" s="117"/>
      <c r="E790" s="118"/>
      <c r="F790" s="82"/>
      <c r="G790" s="30"/>
      <c r="H790" s="30"/>
      <c r="I790" s="30"/>
      <c r="J790" s="30"/>
      <c r="K790" s="30"/>
    </row>
    <row r="791" spans="1:11" ht="13.2">
      <c r="A791" s="82"/>
      <c r="B791" s="82"/>
      <c r="C791" s="117"/>
      <c r="E791" s="118"/>
      <c r="F791" s="82"/>
      <c r="G791" s="30"/>
      <c r="H791" s="30"/>
      <c r="I791" s="30"/>
      <c r="J791" s="30"/>
      <c r="K791" s="30"/>
    </row>
    <row r="792" spans="1:11" ht="13.2">
      <c r="A792" s="82"/>
      <c r="B792" s="82"/>
      <c r="C792" s="117"/>
      <c r="E792" s="118"/>
      <c r="F792" s="82"/>
      <c r="G792" s="30"/>
      <c r="H792" s="30"/>
      <c r="I792" s="30"/>
      <c r="J792" s="30"/>
      <c r="K792" s="30"/>
    </row>
    <row r="793" spans="1:11" ht="13.2">
      <c r="A793" s="82"/>
      <c r="B793" s="82"/>
      <c r="C793" s="117"/>
      <c r="E793" s="118"/>
      <c r="F793" s="82"/>
      <c r="G793" s="30"/>
      <c r="H793" s="30"/>
      <c r="I793" s="30"/>
      <c r="J793" s="30"/>
      <c r="K793" s="30"/>
    </row>
    <row r="794" spans="1:11" ht="13.2">
      <c r="A794" s="82"/>
      <c r="B794" s="82"/>
      <c r="C794" s="117"/>
      <c r="E794" s="118"/>
      <c r="F794" s="82"/>
      <c r="G794" s="30"/>
      <c r="H794" s="30"/>
      <c r="I794" s="30"/>
      <c r="J794" s="30"/>
      <c r="K794" s="30"/>
    </row>
    <row r="795" spans="1:11" ht="13.2">
      <c r="A795" s="82"/>
      <c r="B795" s="82"/>
      <c r="C795" s="117"/>
      <c r="E795" s="118"/>
      <c r="F795" s="82"/>
      <c r="G795" s="30"/>
      <c r="H795" s="30"/>
      <c r="I795" s="30"/>
      <c r="J795" s="30"/>
      <c r="K795" s="30"/>
    </row>
    <row r="796" spans="1:11" ht="13.2">
      <c r="A796" s="82"/>
      <c r="B796" s="82"/>
      <c r="C796" s="117"/>
      <c r="E796" s="118"/>
      <c r="F796" s="82"/>
      <c r="G796" s="30"/>
      <c r="H796" s="30"/>
      <c r="I796" s="30"/>
      <c r="J796" s="30"/>
      <c r="K796" s="30"/>
    </row>
    <row r="797" spans="1:11" ht="13.2">
      <c r="A797" s="82"/>
      <c r="B797" s="82"/>
      <c r="C797" s="117"/>
      <c r="E797" s="118"/>
      <c r="F797" s="82"/>
      <c r="G797" s="30"/>
      <c r="H797" s="30"/>
      <c r="I797" s="30"/>
      <c r="J797" s="30"/>
      <c r="K797" s="30"/>
    </row>
    <row r="798" spans="1:11" ht="13.2">
      <c r="A798" s="82"/>
      <c r="B798" s="82"/>
      <c r="C798" s="117"/>
      <c r="E798" s="118"/>
      <c r="F798" s="82"/>
      <c r="G798" s="30"/>
      <c r="H798" s="30"/>
      <c r="I798" s="30"/>
      <c r="J798" s="30"/>
      <c r="K798" s="30"/>
    </row>
    <row r="799" spans="1:11" ht="13.2">
      <c r="A799" s="82"/>
      <c r="B799" s="82"/>
      <c r="C799" s="117"/>
      <c r="E799" s="118"/>
      <c r="F799" s="82"/>
      <c r="G799" s="30"/>
      <c r="H799" s="30"/>
      <c r="I799" s="30"/>
      <c r="J799" s="30"/>
      <c r="K799" s="30"/>
    </row>
    <row r="800" spans="1:11" ht="13.2">
      <c r="A800" s="82"/>
      <c r="B800" s="82"/>
      <c r="C800" s="117"/>
      <c r="E800" s="118"/>
      <c r="F800" s="82"/>
      <c r="G800" s="30"/>
      <c r="H800" s="30"/>
      <c r="I800" s="30"/>
      <c r="J800" s="30"/>
      <c r="K800" s="30"/>
    </row>
    <row r="801" spans="1:11" ht="13.2">
      <c r="A801" s="82"/>
      <c r="B801" s="82"/>
      <c r="C801" s="117"/>
      <c r="E801" s="118"/>
      <c r="F801" s="82"/>
      <c r="G801" s="30"/>
      <c r="H801" s="30"/>
      <c r="I801" s="30"/>
      <c r="J801" s="30"/>
      <c r="K801" s="30"/>
    </row>
    <row r="802" spans="1:11" ht="13.2">
      <c r="A802" s="82"/>
      <c r="B802" s="82"/>
      <c r="C802" s="117"/>
      <c r="E802" s="118"/>
      <c r="F802" s="82"/>
      <c r="G802" s="30"/>
      <c r="H802" s="30"/>
      <c r="I802" s="30"/>
      <c r="J802" s="30"/>
      <c r="K802" s="30"/>
    </row>
    <row r="803" spans="1:11" ht="13.2">
      <c r="A803" s="82"/>
      <c r="B803" s="82"/>
      <c r="C803" s="117"/>
      <c r="E803" s="118"/>
      <c r="F803" s="82"/>
      <c r="G803" s="30"/>
      <c r="H803" s="30"/>
      <c r="I803" s="30"/>
      <c r="J803" s="30"/>
      <c r="K803" s="30"/>
    </row>
    <row r="804" spans="1:11" ht="13.2">
      <c r="A804" s="82"/>
      <c r="B804" s="82"/>
      <c r="C804" s="117"/>
      <c r="E804" s="118"/>
      <c r="F804" s="82"/>
      <c r="G804" s="30"/>
      <c r="H804" s="30"/>
      <c r="I804" s="30"/>
      <c r="J804" s="30"/>
      <c r="K804" s="30"/>
    </row>
    <row r="805" spans="1:11" ht="13.2">
      <c r="A805" s="82"/>
      <c r="B805" s="82"/>
      <c r="C805" s="117"/>
      <c r="E805" s="118"/>
      <c r="F805" s="82"/>
      <c r="G805" s="30"/>
      <c r="H805" s="30"/>
      <c r="I805" s="30"/>
      <c r="J805" s="30"/>
      <c r="K805" s="30"/>
    </row>
    <row r="806" spans="1:11" ht="13.2">
      <c r="A806" s="82"/>
      <c r="B806" s="82"/>
      <c r="C806" s="117"/>
      <c r="E806" s="118"/>
      <c r="F806" s="82"/>
      <c r="G806" s="30"/>
      <c r="H806" s="30"/>
      <c r="I806" s="30"/>
      <c r="J806" s="30"/>
      <c r="K806" s="30"/>
    </row>
    <row r="807" spans="1:11" ht="13.2">
      <c r="A807" s="82"/>
      <c r="B807" s="82"/>
      <c r="C807" s="117"/>
      <c r="E807" s="118"/>
      <c r="F807" s="82"/>
      <c r="G807" s="30"/>
      <c r="H807" s="30"/>
      <c r="I807" s="30"/>
      <c r="J807" s="30"/>
      <c r="K807" s="30"/>
    </row>
    <row r="808" spans="1:11" ht="13.2">
      <c r="A808" s="82"/>
      <c r="B808" s="82"/>
      <c r="C808" s="117"/>
      <c r="E808" s="118"/>
      <c r="F808" s="82"/>
      <c r="G808" s="30"/>
      <c r="H808" s="30"/>
      <c r="I808" s="30"/>
      <c r="J808" s="30"/>
      <c r="K808" s="30"/>
    </row>
    <row r="809" spans="1:11" ht="13.2">
      <c r="A809" s="82"/>
      <c r="B809" s="82"/>
      <c r="C809" s="117"/>
      <c r="E809" s="118"/>
      <c r="F809" s="82"/>
      <c r="G809" s="30"/>
      <c r="H809" s="30"/>
      <c r="I809" s="30"/>
      <c r="J809" s="30"/>
      <c r="K809" s="30"/>
    </row>
    <row r="810" spans="1:11" ht="13.2">
      <c r="A810" s="82"/>
      <c r="B810" s="82"/>
      <c r="C810" s="117"/>
      <c r="E810" s="118"/>
      <c r="F810" s="82"/>
      <c r="G810" s="30"/>
      <c r="H810" s="30"/>
      <c r="I810" s="30"/>
      <c r="J810" s="30"/>
      <c r="K810" s="30"/>
    </row>
    <row r="811" spans="1:11" ht="13.2">
      <c r="A811" s="82"/>
      <c r="B811" s="82"/>
      <c r="C811" s="117"/>
      <c r="E811" s="118"/>
      <c r="F811" s="82"/>
      <c r="G811" s="30"/>
      <c r="H811" s="30"/>
      <c r="I811" s="30"/>
      <c r="J811" s="30"/>
      <c r="K811" s="30"/>
    </row>
    <row r="812" spans="1:11" ht="13.2">
      <c r="A812" s="82"/>
      <c r="B812" s="82"/>
      <c r="C812" s="117"/>
      <c r="E812" s="118"/>
      <c r="F812" s="82"/>
      <c r="G812" s="30"/>
      <c r="H812" s="30"/>
      <c r="I812" s="30"/>
      <c r="J812" s="30"/>
      <c r="K812" s="30"/>
    </row>
    <row r="813" spans="1:11" ht="13.2">
      <c r="A813" s="82"/>
      <c r="B813" s="82"/>
      <c r="C813" s="117"/>
      <c r="E813" s="118"/>
      <c r="F813" s="82"/>
      <c r="G813" s="30"/>
      <c r="H813" s="30"/>
      <c r="I813" s="30"/>
      <c r="J813" s="30"/>
      <c r="K813" s="30"/>
    </row>
    <row r="814" spans="1:11" ht="13.2">
      <c r="A814" s="82"/>
      <c r="B814" s="82"/>
      <c r="C814" s="117"/>
      <c r="E814" s="118"/>
      <c r="F814" s="82"/>
      <c r="G814" s="30"/>
      <c r="H814" s="30"/>
      <c r="I814" s="30"/>
      <c r="J814" s="30"/>
      <c r="K814" s="30"/>
    </row>
    <row r="815" spans="1:11" ht="13.2">
      <c r="A815" s="82"/>
      <c r="B815" s="82"/>
      <c r="C815" s="117"/>
      <c r="E815" s="118"/>
      <c r="F815" s="82"/>
      <c r="G815" s="30"/>
      <c r="H815" s="30"/>
      <c r="I815" s="30"/>
      <c r="J815" s="30"/>
      <c r="K815" s="30"/>
    </row>
    <row r="816" spans="1:11" ht="13.2">
      <c r="A816" s="82"/>
      <c r="B816" s="82"/>
      <c r="C816" s="117"/>
      <c r="E816" s="118"/>
      <c r="F816" s="82"/>
      <c r="G816" s="30"/>
      <c r="H816" s="30"/>
      <c r="I816" s="30"/>
      <c r="J816" s="30"/>
      <c r="K816" s="30"/>
    </row>
    <row r="817" spans="1:11" ht="13.2">
      <c r="A817" s="82"/>
      <c r="B817" s="82"/>
      <c r="C817" s="117"/>
      <c r="E817" s="118"/>
      <c r="F817" s="82"/>
      <c r="G817" s="30"/>
      <c r="H817" s="30"/>
      <c r="I817" s="30"/>
      <c r="J817" s="30"/>
      <c r="K817" s="30"/>
    </row>
    <row r="818" spans="1:11" ht="13.2">
      <c r="A818" s="82"/>
      <c r="B818" s="82"/>
      <c r="C818" s="117"/>
      <c r="E818" s="118"/>
      <c r="F818" s="82"/>
      <c r="G818" s="30"/>
      <c r="H818" s="30"/>
      <c r="I818" s="30"/>
      <c r="J818" s="30"/>
      <c r="K818" s="30"/>
    </row>
    <row r="819" spans="1:11" ht="13.2">
      <c r="A819" s="82"/>
      <c r="B819" s="82"/>
      <c r="C819" s="117"/>
      <c r="E819" s="118"/>
      <c r="F819" s="82"/>
      <c r="G819" s="30"/>
      <c r="H819" s="30"/>
      <c r="I819" s="30"/>
      <c r="J819" s="30"/>
      <c r="K819" s="30"/>
    </row>
    <row r="820" spans="1:11" ht="13.2">
      <c r="A820" s="82"/>
      <c r="B820" s="82"/>
      <c r="C820" s="117"/>
      <c r="E820" s="118"/>
      <c r="F820" s="82"/>
      <c r="G820" s="30"/>
      <c r="H820" s="30"/>
      <c r="I820" s="30"/>
      <c r="J820" s="30"/>
      <c r="K820" s="30"/>
    </row>
    <row r="821" spans="1:11" ht="13.2">
      <c r="A821" s="82"/>
      <c r="B821" s="82"/>
      <c r="C821" s="117"/>
      <c r="E821" s="118"/>
      <c r="F821" s="82"/>
      <c r="G821" s="30"/>
      <c r="H821" s="30"/>
      <c r="I821" s="30"/>
      <c r="J821" s="30"/>
      <c r="K821" s="30"/>
    </row>
    <row r="822" spans="1:11" ht="13.2">
      <c r="A822" s="82"/>
      <c r="B822" s="82"/>
      <c r="C822" s="117"/>
      <c r="E822" s="118"/>
      <c r="F822" s="82"/>
      <c r="G822" s="30"/>
      <c r="H822" s="30"/>
      <c r="I822" s="30"/>
      <c r="J822" s="30"/>
      <c r="K822" s="30"/>
    </row>
    <row r="823" spans="1:11" ht="13.2">
      <c r="A823" s="82"/>
      <c r="B823" s="82"/>
      <c r="C823" s="117"/>
      <c r="E823" s="118"/>
      <c r="F823" s="82"/>
      <c r="G823" s="30"/>
      <c r="H823" s="30"/>
      <c r="I823" s="30"/>
      <c r="J823" s="30"/>
      <c r="K823" s="30"/>
    </row>
    <row r="824" spans="1:11" ht="13.2">
      <c r="A824" s="82"/>
      <c r="B824" s="82"/>
      <c r="C824" s="117"/>
      <c r="E824" s="118"/>
      <c r="F824" s="82"/>
      <c r="G824" s="30"/>
      <c r="H824" s="30"/>
      <c r="I824" s="30"/>
      <c r="J824" s="30"/>
      <c r="K824" s="30"/>
    </row>
    <row r="825" spans="1:11" ht="13.2">
      <c r="A825" s="82"/>
      <c r="B825" s="82"/>
      <c r="C825" s="117"/>
      <c r="E825" s="118"/>
      <c r="F825" s="82"/>
      <c r="G825" s="30"/>
      <c r="H825" s="30"/>
      <c r="I825" s="30"/>
      <c r="J825" s="30"/>
      <c r="K825" s="30"/>
    </row>
    <row r="826" spans="1:11" ht="13.2">
      <c r="A826" s="82"/>
      <c r="B826" s="82"/>
      <c r="C826" s="117"/>
      <c r="E826" s="118"/>
      <c r="F826" s="82"/>
      <c r="G826" s="30"/>
      <c r="H826" s="30"/>
      <c r="I826" s="30"/>
      <c r="J826" s="30"/>
      <c r="K826" s="30"/>
    </row>
    <row r="827" spans="1:11" ht="13.2">
      <c r="A827" s="82"/>
      <c r="B827" s="82"/>
      <c r="C827" s="117"/>
      <c r="E827" s="118"/>
      <c r="F827" s="82"/>
      <c r="G827" s="30"/>
      <c r="H827" s="30"/>
      <c r="I827" s="30"/>
      <c r="J827" s="30"/>
      <c r="K827" s="30"/>
    </row>
    <row r="828" spans="1:11" ht="13.2">
      <c r="A828" s="82"/>
      <c r="B828" s="82"/>
      <c r="C828" s="117"/>
      <c r="E828" s="118"/>
      <c r="F828" s="82"/>
      <c r="G828" s="30"/>
      <c r="H828" s="30"/>
      <c r="I828" s="30"/>
      <c r="J828" s="30"/>
      <c r="K828" s="30"/>
    </row>
    <row r="829" spans="1:11" ht="13.2">
      <c r="A829" s="82"/>
      <c r="B829" s="82"/>
      <c r="C829" s="117"/>
      <c r="E829" s="118"/>
      <c r="F829" s="82"/>
      <c r="G829" s="30"/>
      <c r="H829" s="30"/>
      <c r="I829" s="30"/>
      <c r="J829" s="30"/>
      <c r="K829" s="30"/>
    </row>
    <row r="830" spans="1:11" ht="13.2">
      <c r="A830" s="82"/>
      <c r="B830" s="82"/>
      <c r="C830" s="117"/>
      <c r="E830" s="118"/>
      <c r="F830" s="82"/>
      <c r="G830" s="30"/>
      <c r="H830" s="30"/>
      <c r="I830" s="30"/>
      <c r="J830" s="30"/>
      <c r="K830" s="30"/>
    </row>
    <row r="831" spans="1:11" ht="13.2">
      <c r="A831" s="82"/>
      <c r="B831" s="82"/>
      <c r="C831" s="117"/>
      <c r="E831" s="118"/>
      <c r="F831" s="82"/>
      <c r="G831" s="30"/>
      <c r="H831" s="30"/>
      <c r="I831" s="30"/>
      <c r="J831" s="30"/>
      <c r="K831" s="30"/>
    </row>
    <row r="832" spans="1:11" ht="13.2">
      <c r="A832" s="82"/>
      <c r="B832" s="82"/>
      <c r="C832" s="117"/>
      <c r="E832" s="118"/>
      <c r="F832" s="82"/>
      <c r="G832" s="30"/>
      <c r="H832" s="30"/>
      <c r="I832" s="30"/>
      <c r="J832" s="30"/>
      <c r="K832" s="30"/>
    </row>
    <row r="833" spans="1:11" ht="13.2">
      <c r="A833" s="82"/>
      <c r="B833" s="82"/>
      <c r="C833" s="117"/>
      <c r="E833" s="118"/>
      <c r="F833" s="82"/>
      <c r="G833" s="30"/>
      <c r="H833" s="30"/>
      <c r="I833" s="30"/>
      <c r="J833" s="30"/>
      <c r="K833" s="30"/>
    </row>
    <row r="834" spans="1:11" ht="13.2">
      <c r="A834" s="82"/>
      <c r="B834" s="82"/>
      <c r="C834" s="117"/>
      <c r="E834" s="118"/>
      <c r="F834" s="82"/>
      <c r="G834" s="30"/>
      <c r="H834" s="30"/>
      <c r="I834" s="30"/>
      <c r="J834" s="30"/>
      <c r="K834" s="30"/>
    </row>
    <row r="835" spans="1:11" ht="13.2">
      <c r="A835" s="82"/>
      <c r="B835" s="82"/>
      <c r="C835" s="117"/>
      <c r="E835" s="118"/>
      <c r="F835" s="82"/>
      <c r="G835" s="30"/>
      <c r="H835" s="30"/>
      <c r="I835" s="30"/>
      <c r="J835" s="30"/>
      <c r="K835" s="30"/>
    </row>
    <row r="836" spans="1:11" ht="13.2">
      <c r="A836" s="82"/>
      <c r="B836" s="82"/>
      <c r="C836" s="117"/>
      <c r="E836" s="118"/>
      <c r="F836" s="82"/>
      <c r="G836" s="30"/>
      <c r="H836" s="30"/>
      <c r="I836" s="30"/>
      <c r="J836" s="30"/>
      <c r="K836" s="30"/>
    </row>
    <row r="837" spans="1:11" ht="13.2">
      <c r="A837" s="82"/>
      <c r="B837" s="82"/>
      <c r="C837" s="117"/>
      <c r="E837" s="118"/>
      <c r="F837" s="82"/>
      <c r="G837" s="30"/>
      <c r="H837" s="30"/>
      <c r="I837" s="30"/>
      <c r="J837" s="30"/>
      <c r="K837" s="30"/>
    </row>
    <row r="838" spans="1:11" ht="13.2">
      <c r="A838" s="82"/>
      <c r="B838" s="82"/>
      <c r="C838" s="117"/>
      <c r="E838" s="118"/>
      <c r="F838" s="82"/>
      <c r="G838" s="30"/>
      <c r="H838" s="30"/>
      <c r="I838" s="30"/>
      <c r="J838" s="30"/>
      <c r="K838" s="30"/>
    </row>
    <row r="839" spans="1:11" ht="13.2">
      <c r="A839" s="82"/>
      <c r="B839" s="82"/>
      <c r="C839" s="117"/>
      <c r="E839" s="118"/>
      <c r="F839" s="82"/>
      <c r="G839" s="30"/>
      <c r="H839" s="30"/>
      <c r="I839" s="30"/>
      <c r="J839" s="30"/>
      <c r="K839" s="30"/>
    </row>
    <row r="840" spans="1:11" ht="13.2">
      <c r="A840" s="82"/>
      <c r="B840" s="82"/>
      <c r="C840" s="117"/>
      <c r="E840" s="118"/>
      <c r="F840" s="82"/>
      <c r="G840" s="30"/>
      <c r="H840" s="30"/>
      <c r="I840" s="30"/>
      <c r="J840" s="30"/>
      <c r="K840" s="30"/>
    </row>
    <row r="841" spans="1:11" ht="13.2">
      <c r="A841" s="82"/>
      <c r="B841" s="82"/>
      <c r="C841" s="117"/>
      <c r="E841" s="118"/>
      <c r="F841" s="82"/>
      <c r="G841" s="30"/>
      <c r="H841" s="30"/>
      <c r="I841" s="30"/>
      <c r="J841" s="30"/>
      <c r="K841" s="30"/>
    </row>
    <row r="842" spans="1:11" ht="13.2">
      <c r="A842" s="82"/>
      <c r="B842" s="82"/>
      <c r="C842" s="117"/>
      <c r="E842" s="118"/>
      <c r="F842" s="82"/>
      <c r="G842" s="30"/>
      <c r="H842" s="30"/>
      <c r="I842" s="30"/>
      <c r="J842" s="30"/>
      <c r="K842" s="30"/>
    </row>
    <row r="843" spans="1:11" ht="13.2">
      <c r="A843" s="82"/>
      <c r="B843" s="82"/>
      <c r="C843" s="117"/>
      <c r="E843" s="118"/>
      <c r="F843" s="82"/>
      <c r="G843" s="30"/>
      <c r="H843" s="30"/>
      <c r="I843" s="30"/>
      <c r="J843" s="30"/>
      <c r="K843" s="30"/>
    </row>
    <row r="844" spans="1:11" ht="13.2">
      <c r="A844" s="82"/>
      <c r="B844" s="82"/>
      <c r="C844" s="117"/>
      <c r="E844" s="118"/>
      <c r="F844" s="82"/>
      <c r="G844" s="30"/>
      <c r="H844" s="30"/>
      <c r="I844" s="30"/>
      <c r="J844" s="30"/>
      <c r="K844" s="30"/>
    </row>
    <row r="845" spans="1:11" ht="13.2">
      <c r="A845" s="82"/>
      <c r="B845" s="82"/>
      <c r="C845" s="117"/>
      <c r="E845" s="118"/>
      <c r="F845" s="82"/>
      <c r="G845" s="30"/>
      <c r="H845" s="30"/>
      <c r="I845" s="30"/>
      <c r="J845" s="30"/>
      <c r="K845" s="30"/>
    </row>
    <row r="846" spans="1:11" ht="13.2">
      <c r="A846" s="82"/>
      <c r="B846" s="82"/>
      <c r="C846" s="117"/>
      <c r="E846" s="118"/>
      <c r="F846" s="82"/>
      <c r="G846" s="30"/>
      <c r="H846" s="30"/>
      <c r="I846" s="30"/>
      <c r="J846" s="30"/>
      <c r="K846" s="30"/>
    </row>
    <row r="847" spans="1:11" ht="13.2">
      <c r="A847" s="82"/>
      <c r="B847" s="82"/>
      <c r="C847" s="117"/>
      <c r="E847" s="118"/>
      <c r="F847" s="82"/>
      <c r="G847" s="30"/>
      <c r="H847" s="30"/>
      <c r="I847" s="30"/>
      <c r="J847" s="30"/>
      <c r="K847" s="30"/>
    </row>
    <row r="848" spans="1:11" ht="13.2">
      <c r="A848" s="82"/>
      <c r="B848" s="82"/>
      <c r="C848" s="117"/>
      <c r="E848" s="118"/>
      <c r="F848" s="82"/>
      <c r="G848" s="30"/>
      <c r="H848" s="30"/>
      <c r="I848" s="30"/>
      <c r="J848" s="30"/>
      <c r="K848" s="30"/>
    </row>
    <row r="849" spans="1:11" ht="13.2">
      <c r="A849" s="82"/>
      <c r="B849" s="82"/>
      <c r="C849" s="117"/>
      <c r="E849" s="118"/>
      <c r="F849" s="82"/>
      <c r="G849" s="30"/>
      <c r="H849" s="30"/>
      <c r="I849" s="30"/>
      <c r="J849" s="30"/>
      <c r="K849" s="30"/>
    </row>
    <row r="850" spans="1:11" ht="13.2">
      <c r="A850" s="82"/>
      <c r="B850" s="82"/>
      <c r="C850" s="117"/>
      <c r="E850" s="118"/>
      <c r="F850" s="82"/>
      <c r="G850" s="30"/>
      <c r="H850" s="30"/>
      <c r="I850" s="30"/>
      <c r="J850" s="30"/>
      <c r="K850" s="30"/>
    </row>
    <row r="851" spans="1:11" ht="13.2">
      <c r="A851" s="82"/>
      <c r="B851" s="82"/>
      <c r="C851" s="117"/>
      <c r="E851" s="118"/>
      <c r="F851" s="82"/>
      <c r="G851" s="30"/>
      <c r="H851" s="30"/>
      <c r="I851" s="30"/>
      <c r="J851" s="30"/>
      <c r="K851" s="30"/>
    </row>
    <row r="852" spans="1:11" ht="13.2">
      <c r="A852" s="82"/>
      <c r="B852" s="82"/>
      <c r="C852" s="117"/>
      <c r="E852" s="118"/>
      <c r="F852" s="82"/>
      <c r="G852" s="30"/>
      <c r="H852" s="30"/>
      <c r="I852" s="30"/>
      <c r="J852" s="30"/>
      <c r="K852" s="30"/>
    </row>
    <row r="853" spans="1:11" ht="13.2">
      <c r="A853" s="82"/>
      <c r="B853" s="82"/>
      <c r="C853" s="117"/>
      <c r="E853" s="118"/>
      <c r="F853" s="82"/>
      <c r="G853" s="30"/>
      <c r="H853" s="30"/>
      <c r="I853" s="30"/>
      <c r="J853" s="30"/>
      <c r="K853" s="30"/>
    </row>
    <row r="854" spans="1:11" ht="13.2">
      <c r="A854" s="82"/>
      <c r="B854" s="82"/>
      <c r="C854" s="117"/>
      <c r="E854" s="118"/>
      <c r="F854" s="82"/>
      <c r="G854" s="30"/>
      <c r="H854" s="30"/>
      <c r="I854" s="30"/>
      <c r="J854" s="30"/>
      <c r="K854" s="30"/>
    </row>
    <row r="855" spans="1:11" ht="13.2">
      <c r="A855" s="82"/>
      <c r="B855" s="82"/>
      <c r="C855" s="117"/>
      <c r="E855" s="118"/>
      <c r="F855" s="82"/>
      <c r="G855" s="30"/>
      <c r="H855" s="30"/>
      <c r="I855" s="30"/>
      <c r="J855" s="30"/>
      <c r="K855" s="30"/>
    </row>
    <row r="856" spans="1:11" ht="13.2">
      <c r="A856" s="82"/>
      <c r="B856" s="82"/>
      <c r="C856" s="117"/>
      <c r="E856" s="118"/>
      <c r="F856" s="82"/>
      <c r="G856" s="30"/>
      <c r="H856" s="30"/>
      <c r="I856" s="30"/>
      <c r="J856" s="30"/>
      <c r="K856" s="30"/>
    </row>
    <row r="857" spans="1:11" ht="13.2">
      <c r="A857" s="82"/>
      <c r="B857" s="82"/>
      <c r="C857" s="117"/>
      <c r="E857" s="118"/>
      <c r="F857" s="82"/>
      <c r="G857" s="30"/>
      <c r="H857" s="30"/>
      <c r="I857" s="30"/>
      <c r="J857" s="30"/>
      <c r="K857" s="30"/>
    </row>
    <row r="858" spans="1:11" ht="13.2">
      <c r="A858" s="82"/>
      <c r="B858" s="82"/>
      <c r="C858" s="117"/>
      <c r="E858" s="118"/>
      <c r="F858" s="82"/>
      <c r="G858" s="30"/>
      <c r="H858" s="30"/>
      <c r="I858" s="30"/>
      <c r="J858" s="30"/>
      <c r="K858" s="30"/>
    </row>
    <row r="859" spans="1:11" ht="13.2">
      <c r="A859" s="82"/>
      <c r="B859" s="82"/>
      <c r="C859" s="117"/>
      <c r="E859" s="118"/>
      <c r="F859" s="82"/>
      <c r="G859" s="30"/>
      <c r="H859" s="30"/>
      <c r="I859" s="30"/>
      <c r="J859" s="30"/>
      <c r="K859" s="30"/>
    </row>
    <row r="860" spans="1:11" ht="13.2">
      <c r="A860" s="82"/>
      <c r="B860" s="82"/>
      <c r="C860" s="117"/>
      <c r="E860" s="118"/>
      <c r="F860" s="82"/>
      <c r="G860" s="30"/>
      <c r="H860" s="30"/>
      <c r="I860" s="30"/>
      <c r="J860" s="30"/>
      <c r="K860" s="30"/>
    </row>
    <row r="861" spans="1:11" ht="13.2">
      <c r="A861" s="82"/>
      <c r="B861" s="82"/>
      <c r="C861" s="117"/>
      <c r="E861" s="118"/>
      <c r="F861" s="82"/>
      <c r="G861" s="30"/>
      <c r="H861" s="30"/>
      <c r="I861" s="30"/>
      <c r="J861" s="30"/>
      <c r="K861" s="30"/>
    </row>
    <row r="862" spans="1:11" ht="13.2">
      <c r="A862" s="82"/>
      <c r="B862" s="82"/>
      <c r="C862" s="117"/>
      <c r="E862" s="118"/>
      <c r="F862" s="82"/>
      <c r="G862" s="30"/>
      <c r="H862" s="30"/>
      <c r="I862" s="30"/>
      <c r="J862" s="30"/>
      <c r="K862" s="30"/>
    </row>
    <row r="863" spans="1:11" ht="13.2">
      <c r="A863" s="82"/>
      <c r="B863" s="82"/>
      <c r="C863" s="117"/>
      <c r="E863" s="118"/>
      <c r="F863" s="82"/>
      <c r="G863" s="30"/>
      <c r="H863" s="30"/>
      <c r="I863" s="30"/>
      <c r="J863" s="30"/>
      <c r="K863" s="30"/>
    </row>
    <row r="864" spans="1:11" ht="13.2">
      <c r="A864" s="82"/>
      <c r="B864" s="82"/>
      <c r="C864" s="117"/>
      <c r="E864" s="118"/>
      <c r="F864" s="82"/>
      <c r="G864" s="30"/>
      <c r="H864" s="30"/>
      <c r="I864" s="30"/>
      <c r="J864" s="30"/>
      <c r="K864" s="30"/>
    </row>
    <row r="865" spans="1:11" ht="13.2">
      <c r="A865" s="82"/>
      <c r="B865" s="82"/>
      <c r="C865" s="117"/>
      <c r="E865" s="118"/>
      <c r="F865" s="82"/>
      <c r="G865" s="30"/>
      <c r="H865" s="30"/>
      <c r="I865" s="30"/>
      <c r="J865" s="30"/>
      <c r="K865" s="30"/>
    </row>
    <row r="866" spans="1:11" ht="13.2">
      <c r="A866" s="82"/>
      <c r="B866" s="82"/>
      <c r="C866" s="117"/>
      <c r="E866" s="118"/>
      <c r="F866" s="82"/>
      <c r="G866" s="30"/>
      <c r="H866" s="30"/>
      <c r="I866" s="30"/>
      <c r="J866" s="30"/>
      <c r="K866" s="30"/>
    </row>
    <row r="867" spans="1:11" ht="13.2">
      <c r="A867" s="82"/>
      <c r="B867" s="82"/>
      <c r="C867" s="117"/>
      <c r="E867" s="118"/>
      <c r="F867" s="82"/>
      <c r="G867" s="30"/>
      <c r="H867" s="30"/>
      <c r="I867" s="30"/>
      <c r="J867" s="30"/>
      <c r="K867" s="30"/>
    </row>
    <row r="868" spans="1:11" ht="13.2">
      <c r="A868" s="82"/>
      <c r="B868" s="82"/>
      <c r="C868" s="117"/>
      <c r="E868" s="118"/>
      <c r="F868" s="82"/>
      <c r="G868" s="30"/>
      <c r="H868" s="30"/>
      <c r="I868" s="30"/>
      <c r="J868" s="30"/>
      <c r="K868" s="30"/>
    </row>
    <row r="869" spans="1:11" ht="13.2">
      <c r="A869" s="82"/>
      <c r="B869" s="82"/>
      <c r="C869" s="117"/>
      <c r="E869" s="118"/>
      <c r="F869" s="82"/>
      <c r="G869" s="30"/>
      <c r="H869" s="30"/>
      <c r="I869" s="30"/>
      <c r="J869" s="30"/>
      <c r="K869" s="30"/>
    </row>
    <row r="870" spans="1:11" ht="13.2">
      <c r="A870" s="82"/>
      <c r="B870" s="82"/>
      <c r="C870" s="117"/>
      <c r="E870" s="118"/>
      <c r="F870" s="82"/>
      <c r="G870" s="30"/>
      <c r="H870" s="30"/>
      <c r="I870" s="30"/>
      <c r="J870" s="30"/>
      <c r="K870" s="30"/>
    </row>
    <row r="871" spans="1:11" ht="13.2">
      <c r="A871" s="82"/>
      <c r="B871" s="82"/>
      <c r="C871" s="117"/>
      <c r="E871" s="118"/>
      <c r="F871" s="82"/>
      <c r="G871" s="30"/>
      <c r="H871" s="30"/>
      <c r="I871" s="30"/>
      <c r="J871" s="30"/>
      <c r="K871" s="30"/>
    </row>
    <row r="872" spans="1:11" ht="13.2">
      <c r="A872" s="82"/>
      <c r="B872" s="82"/>
      <c r="C872" s="117"/>
      <c r="E872" s="118"/>
      <c r="F872" s="82"/>
      <c r="G872" s="30"/>
      <c r="H872" s="30"/>
      <c r="I872" s="30"/>
      <c r="J872" s="30"/>
      <c r="K872" s="30"/>
    </row>
    <row r="873" spans="1:11" ht="13.2">
      <c r="A873" s="82"/>
      <c r="B873" s="82"/>
      <c r="C873" s="117"/>
      <c r="E873" s="118"/>
      <c r="F873" s="82"/>
      <c r="G873" s="30"/>
      <c r="H873" s="30"/>
      <c r="I873" s="30"/>
      <c r="J873" s="30"/>
      <c r="K873" s="30"/>
    </row>
    <row r="874" spans="1:11" ht="13.2">
      <c r="A874" s="82"/>
      <c r="B874" s="82"/>
      <c r="C874" s="117"/>
      <c r="E874" s="118"/>
      <c r="F874" s="82"/>
      <c r="G874" s="30"/>
      <c r="H874" s="30"/>
      <c r="I874" s="30"/>
      <c r="J874" s="30"/>
      <c r="K874" s="30"/>
    </row>
    <row r="875" spans="1:11" ht="13.2">
      <c r="A875" s="82"/>
      <c r="B875" s="82"/>
      <c r="C875" s="117"/>
      <c r="E875" s="118"/>
      <c r="F875" s="82"/>
      <c r="G875" s="30"/>
      <c r="H875" s="30"/>
      <c r="I875" s="30"/>
      <c r="J875" s="30"/>
      <c r="K875" s="30"/>
    </row>
    <row r="876" spans="1:11" ht="13.2">
      <c r="A876" s="82"/>
      <c r="B876" s="82"/>
      <c r="C876" s="117"/>
      <c r="E876" s="118"/>
      <c r="F876" s="82"/>
      <c r="G876" s="30"/>
      <c r="H876" s="30"/>
      <c r="I876" s="30"/>
      <c r="J876" s="30"/>
      <c r="K876" s="30"/>
    </row>
    <row r="877" spans="1:11" ht="13.2">
      <c r="A877" s="82"/>
      <c r="B877" s="82"/>
      <c r="C877" s="117"/>
      <c r="E877" s="118"/>
      <c r="F877" s="82"/>
      <c r="G877" s="30"/>
      <c r="H877" s="30"/>
      <c r="I877" s="30"/>
      <c r="J877" s="30"/>
      <c r="K877" s="30"/>
    </row>
    <row r="878" spans="1:11" ht="13.2">
      <c r="A878" s="82"/>
      <c r="B878" s="82"/>
      <c r="C878" s="117"/>
      <c r="E878" s="118"/>
      <c r="F878" s="82"/>
      <c r="G878" s="30"/>
      <c r="H878" s="30"/>
      <c r="I878" s="30"/>
      <c r="J878" s="30"/>
      <c r="K878" s="30"/>
    </row>
    <row r="879" spans="1:11" ht="13.2">
      <c r="A879" s="82"/>
      <c r="B879" s="82"/>
      <c r="C879" s="117"/>
      <c r="E879" s="118"/>
      <c r="F879" s="82"/>
      <c r="G879" s="30"/>
      <c r="H879" s="30"/>
      <c r="I879" s="30"/>
      <c r="J879" s="30"/>
      <c r="K879" s="30"/>
    </row>
    <row r="880" spans="1:11" ht="13.2">
      <c r="A880" s="82"/>
      <c r="B880" s="82"/>
      <c r="C880" s="117"/>
      <c r="E880" s="118"/>
      <c r="F880" s="82"/>
      <c r="G880" s="30"/>
      <c r="H880" s="30"/>
      <c r="I880" s="30"/>
      <c r="J880" s="30"/>
      <c r="K880" s="30"/>
    </row>
    <row r="881" spans="1:11" ht="13.2">
      <c r="A881" s="82"/>
      <c r="B881" s="82"/>
      <c r="C881" s="117"/>
      <c r="E881" s="118"/>
      <c r="F881" s="82"/>
      <c r="G881" s="30"/>
      <c r="H881" s="30"/>
      <c r="I881" s="30"/>
      <c r="J881" s="30"/>
      <c r="K881" s="30"/>
    </row>
    <row r="882" spans="1:11" ht="13.2">
      <c r="A882" s="82"/>
      <c r="B882" s="82"/>
      <c r="C882" s="117"/>
      <c r="E882" s="118"/>
      <c r="F882" s="82"/>
      <c r="G882" s="30"/>
      <c r="H882" s="30"/>
      <c r="I882" s="30"/>
      <c r="J882" s="30"/>
      <c r="K882" s="30"/>
    </row>
    <row r="883" spans="1:11" ht="13.2">
      <c r="A883" s="82"/>
      <c r="B883" s="82"/>
      <c r="C883" s="117"/>
      <c r="E883" s="118"/>
      <c r="F883" s="82"/>
      <c r="G883" s="30"/>
      <c r="H883" s="30"/>
      <c r="I883" s="30"/>
      <c r="J883" s="30"/>
      <c r="K883" s="30"/>
    </row>
    <row r="884" spans="1:11" ht="13.2">
      <c r="A884" s="82"/>
      <c r="B884" s="82"/>
      <c r="C884" s="117"/>
      <c r="E884" s="118"/>
      <c r="F884" s="82"/>
      <c r="G884" s="30"/>
      <c r="H884" s="30"/>
      <c r="I884" s="30"/>
      <c r="J884" s="30"/>
      <c r="K884" s="30"/>
    </row>
    <row r="885" spans="1:11" ht="13.2">
      <c r="A885" s="82"/>
      <c r="B885" s="82"/>
      <c r="C885" s="117"/>
      <c r="E885" s="118"/>
      <c r="F885" s="82"/>
      <c r="G885" s="30"/>
      <c r="H885" s="30"/>
      <c r="I885" s="30"/>
      <c r="J885" s="30"/>
      <c r="K885" s="30"/>
    </row>
    <row r="886" spans="1:11" ht="13.2">
      <c r="A886" s="82"/>
      <c r="B886" s="82"/>
      <c r="C886" s="117"/>
      <c r="E886" s="118"/>
      <c r="F886" s="82"/>
      <c r="G886" s="30"/>
      <c r="H886" s="30"/>
      <c r="I886" s="30"/>
      <c r="J886" s="30"/>
      <c r="K886" s="30"/>
    </row>
    <row r="887" spans="1:11" ht="13.2">
      <c r="A887" s="82"/>
      <c r="B887" s="82"/>
      <c r="C887" s="117"/>
      <c r="E887" s="118"/>
      <c r="F887" s="82"/>
      <c r="G887" s="30"/>
      <c r="H887" s="30"/>
      <c r="I887" s="30"/>
      <c r="J887" s="30"/>
      <c r="K887" s="30"/>
    </row>
    <row r="888" spans="1:11" ht="13.2">
      <c r="A888" s="82"/>
      <c r="B888" s="82"/>
      <c r="C888" s="117"/>
      <c r="E888" s="118"/>
      <c r="F888" s="82"/>
      <c r="G888" s="30"/>
      <c r="H888" s="30"/>
      <c r="I888" s="30"/>
      <c r="J888" s="30"/>
      <c r="K888" s="30"/>
    </row>
    <row r="889" spans="1:11" ht="13.2">
      <c r="A889" s="82"/>
      <c r="B889" s="82"/>
      <c r="C889" s="117"/>
      <c r="E889" s="118"/>
      <c r="F889" s="82"/>
      <c r="G889" s="30"/>
      <c r="H889" s="30"/>
      <c r="I889" s="30"/>
      <c r="J889" s="30"/>
      <c r="K889" s="30"/>
    </row>
    <row r="890" spans="1:11" ht="13.2">
      <c r="A890" s="82"/>
      <c r="B890" s="82"/>
      <c r="C890" s="117"/>
      <c r="E890" s="118"/>
      <c r="F890" s="82"/>
      <c r="G890" s="30"/>
      <c r="H890" s="30"/>
      <c r="I890" s="30"/>
      <c r="J890" s="30"/>
      <c r="K890" s="30"/>
    </row>
    <row r="891" spans="1:11" ht="13.2">
      <c r="A891" s="82"/>
      <c r="B891" s="82"/>
      <c r="C891" s="117"/>
      <c r="E891" s="118"/>
      <c r="F891" s="82"/>
      <c r="G891" s="30"/>
      <c r="H891" s="30"/>
      <c r="I891" s="30"/>
      <c r="J891" s="30"/>
      <c r="K891" s="30"/>
    </row>
    <row r="892" spans="1:11" ht="13.2">
      <c r="A892" s="82"/>
      <c r="B892" s="82"/>
      <c r="C892" s="117"/>
      <c r="E892" s="118"/>
      <c r="F892" s="82"/>
      <c r="G892" s="30"/>
      <c r="H892" s="30"/>
      <c r="I892" s="30"/>
      <c r="J892" s="30"/>
      <c r="K892" s="30"/>
    </row>
    <row r="893" spans="1:11" ht="13.2">
      <c r="A893" s="82"/>
      <c r="B893" s="82"/>
      <c r="C893" s="117"/>
      <c r="E893" s="118"/>
      <c r="F893" s="82"/>
      <c r="G893" s="30"/>
      <c r="H893" s="30"/>
      <c r="I893" s="30"/>
      <c r="J893" s="30"/>
      <c r="K893" s="30"/>
    </row>
    <row r="894" spans="1:11" ht="13.2">
      <c r="A894" s="82"/>
      <c r="B894" s="82"/>
      <c r="C894" s="117"/>
      <c r="E894" s="118"/>
      <c r="F894" s="82"/>
      <c r="G894" s="30"/>
      <c r="H894" s="30"/>
      <c r="I894" s="30"/>
      <c r="J894" s="30"/>
      <c r="K894" s="30"/>
    </row>
    <row r="895" spans="1:11" ht="13.2">
      <c r="A895" s="82"/>
      <c r="B895" s="82"/>
      <c r="C895" s="117"/>
      <c r="E895" s="118"/>
      <c r="F895" s="82"/>
      <c r="G895" s="30"/>
      <c r="H895" s="30"/>
      <c r="I895" s="30"/>
      <c r="J895" s="30"/>
      <c r="K895" s="30"/>
    </row>
    <row r="896" spans="1:11" ht="13.2">
      <c r="A896" s="82"/>
      <c r="B896" s="82"/>
      <c r="C896" s="117"/>
      <c r="E896" s="118"/>
      <c r="F896" s="82"/>
      <c r="G896" s="30"/>
      <c r="H896" s="30"/>
      <c r="I896" s="30"/>
      <c r="J896" s="30"/>
      <c r="K896" s="30"/>
    </row>
    <row r="897" spans="1:11" ht="13.2">
      <c r="A897" s="82"/>
      <c r="B897" s="82"/>
      <c r="C897" s="117"/>
      <c r="E897" s="118"/>
      <c r="F897" s="82"/>
      <c r="G897" s="30"/>
      <c r="H897" s="30"/>
      <c r="I897" s="30"/>
      <c r="J897" s="30"/>
      <c r="K897" s="30"/>
    </row>
    <row r="898" spans="1:11" ht="13.2">
      <c r="A898" s="82"/>
      <c r="B898" s="82"/>
      <c r="C898" s="117"/>
      <c r="E898" s="118"/>
      <c r="F898" s="82"/>
      <c r="G898" s="30"/>
      <c r="H898" s="30"/>
      <c r="I898" s="30"/>
      <c r="J898" s="30"/>
      <c r="K898" s="30"/>
    </row>
    <row r="899" spans="1:11" ht="13.2">
      <c r="A899" s="82"/>
      <c r="B899" s="82"/>
      <c r="C899" s="117"/>
      <c r="E899" s="118"/>
      <c r="F899" s="82"/>
      <c r="G899" s="30"/>
      <c r="H899" s="30"/>
      <c r="I899" s="30"/>
      <c r="J899" s="30"/>
      <c r="K899" s="30"/>
    </row>
    <row r="900" spans="1:11" ht="13.2">
      <c r="A900" s="82"/>
      <c r="B900" s="82"/>
      <c r="C900" s="117"/>
      <c r="E900" s="118"/>
      <c r="F900" s="82"/>
      <c r="G900" s="30"/>
      <c r="H900" s="30"/>
      <c r="I900" s="30"/>
      <c r="J900" s="30"/>
      <c r="K900" s="30"/>
    </row>
    <row r="901" spans="1:11" ht="13.2">
      <c r="A901" s="82"/>
      <c r="B901" s="82"/>
      <c r="C901" s="117"/>
      <c r="E901" s="118"/>
      <c r="F901" s="82"/>
      <c r="G901" s="30"/>
      <c r="H901" s="30"/>
      <c r="I901" s="30"/>
      <c r="J901" s="30"/>
      <c r="K901" s="30"/>
    </row>
    <row r="902" spans="1:11" ht="13.2">
      <c r="A902" s="82"/>
      <c r="B902" s="82"/>
      <c r="C902" s="117"/>
      <c r="E902" s="118"/>
      <c r="F902" s="82"/>
      <c r="G902" s="30"/>
      <c r="H902" s="30"/>
      <c r="I902" s="30"/>
      <c r="J902" s="30"/>
      <c r="K902" s="30"/>
    </row>
    <row r="903" spans="1:11" ht="13.2">
      <c r="A903" s="82"/>
      <c r="B903" s="82"/>
      <c r="C903" s="117"/>
      <c r="E903" s="118"/>
      <c r="F903" s="82"/>
      <c r="G903" s="30"/>
      <c r="H903" s="30"/>
      <c r="I903" s="30"/>
      <c r="J903" s="30"/>
      <c r="K903" s="30"/>
    </row>
    <row r="904" spans="1:11" ht="13.2">
      <c r="A904" s="82"/>
      <c r="B904" s="82"/>
      <c r="C904" s="117"/>
      <c r="E904" s="118"/>
      <c r="F904" s="82"/>
      <c r="G904" s="30"/>
      <c r="H904" s="30"/>
      <c r="I904" s="30"/>
      <c r="J904" s="30"/>
      <c r="K904" s="30"/>
    </row>
    <row r="905" spans="1:11" ht="13.2">
      <c r="A905" s="82"/>
      <c r="B905" s="82"/>
      <c r="C905" s="117"/>
      <c r="E905" s="118"/>
      <c r="F905" s="82"/>
      <c r="G905" s="30"/>
      <c r="H905" s="30"/>
      <c r="I905" s="30"/>
      <c r="J905" s="30"/>
      <c r="K905" s="30"/>
    </row>
    <row r="906" spans="1:11" ht="13.2">
      <c r="A906" s="82"/>
      <c r="B906" s="82"/>
      <c r="C906" s="117"/>
      <c r="E906" s="118"/>
      <c r="F906" s="82"/>
      <c r="G906" s="30"/>
      <c r="H906" s="30"/>
      <c r="I906" s="30"/>
      <c r="J906" s="30"/>
      <c r="K906" s="30"/>
    </row>
    <row r="907" spans="1:11" ht="13.2">
      <c r="A907" s="82"/>
      <c r="B907" s="82"/>
      <c r="C907" s="117"/>
      <c r="E907" s="118"/>
      <c r="F907" s="82"/>
      <c r="G907" s="30"/>
      <c r="H907" s="30"/>
      <c r="I907" s="30"/>
      <c r="J907" s="30"/>
      <c r="K907" s="30"/>
    </row>
    <row r="908" spans="1:11" ht="13.2">
      <c r="A908" s="82"/>
      <c r="B908" s="82"/>
      <c r="C908" s="117"/>
      <c r="E908" s="118"/>
      <c r="F908" s="82"/>
      <c r="G908" s="30"/>
      <c r="H908" s="30"/>
      <c r="I908" s="30"/>
      <c r="J908" s="30"/>
      <c r="K908" s="30"/>
    </row>
    <row r="909" spans="1:11" ht="13.2">
      <c r="A909" s="82"/>
      <c r="B909" s="82"/>
      <c r="C909" s="117"/>
      <c r="E909" s="118"/>
      <c r="F909" s="82"/>
      <c r="G909" s="30"/>
      <c r="H909" s="30"/>
      <c r="I909" s="30"/>
      <c r="J909" s="30"/>
      <c r="K909" s="30"/>
    </row>
    <row r="910" spans="1:11" ht="13.2">
      <c r="A910" s="82"/>
      <c r="B910" s="82"/>
      <c r="C910" s="117"/>
      <c r="E910" s="118"/>
      <c r="F910" s="82"/>
      <c r="G910" s="30"/>
      <c r="H910" s="30"/>
      <c r="I910" s="30"/>
      <c r="J910" s="30"/>
      <c r="K910" s="30"/>
    </row>
    <row r="911" spans="1:11" ht="13.2">
      <c r="A911" s="82"/>
      <c r="B911" s="82"/>
      <c r="C911" s="117"/>
      <c r="E911" s="118"/>
      <c r="F911" s="82"/>
      <c r="G911" s="30"/>
      <c r="H911" s="30"/>
      <c r="I911" s="30"/>
      <c r="J911" s="30"/>
      <c r="K911" s="30"/>
    </row>
    <row r="912" spans="1:11" ht="13.2">
      <c r="A912" s="82"/>
      <c r="B912" s="82"/>
      <c r="C912" s="117"/>
      <c r="E912" s="118"/>
      <c r="F912" s="82"/>
      <c r="G912" s="30"/>
      <c r="H912" s="30"/>
      <c r="I912" s="30"/>
      <c r="J912" s="30"/>
      <c r="K912" s="30"/>
    </row>
    <row r="913" spans="1:11" ht="13.2">
      <c r="A913" s="82"/>
      <c r="B913" s="82"/>
      <c r="C913" s="117"/>
      <c r="E913" s="118"/>
      <c r="F913" s="82"/>
      <c r="G913" s="30"/>
      <c r="H913" s="30"/>
      <c r="I913" s="30"/>
      <c r="J913" s="30"/>
      <c r="K913" s="30"/>
    </row>
    <row r="914" spans="1:11" ht="13.2">
      <c r="A914" s="82"/>
      <c r="B914" s="82"/>
      <c r="C914" s="117"/>
      <c r="E914" s="118"/>
      <c r="F914" s="82"/>
      <c r="G914" s="30"/>
      <c r="H914" s="30"/>
      <c r="I914" s="30"/>
      <c r="J914" s="30"/>
      <c r="K914" s="30"/>
    </row>
    <row r="915" spans="1:11" ht="13.2">
      <c r="A915" s="82"/>
      <c r="B915" s="82"/>
      <c r="C915" s="117"/>
      <c r="E915" s="118"/>
      <c r="F915" s="82"/>
      <c r="G915" s="30"/>
      <c r="H915" s="30"/>
      <c r="I915" s="30"/>
      <c r="J915" s="30"/>
      <c r="K915" s="30"/>
    </row>
    <row r="916" spans="1:11" ht="13.2">
      <c r="A916" s="82"/>
      <c r="B916" s="82"/>
      <c r="C916" s="117"/>
      <c r="E916" s="118"/>
      <c r="F916" s="82"/>
      <c r="G916" s="30"/>
      <c r="H916" s="30"/>
      <c r="I916" s="30"/>
      <c r="J916" s="30"/>
      <c r="K916" s="30"/>
    </row>
    <row r="917" spans="1:11" ht="13.2">
      <c r="A917" s="82"/>
      <c r="B917" s="82"/>
      <c r="C917" s="117"/>
      <c r="E917" s="118"/>
      <c r="F917" s="82"/>
      <c r="G917" s="30"/>
      <c r="H917" s="30"/>
      <c r="I917" s="30"/>
      <c r="J917" s="30"/>
      <c r="K917" s="30"/>
    </row>
    <row r="918" spans="1:11" ht="13.2">
      <c r="A918" s="82"/>
      <c r="B918" s="82"/>
      <c r="C918" s="117"/>
      <c r="E918" s="118"/>
      <c r="F918" s="82"/>
      <c r="G918" s="30"/>
      <c r="H918" s="30"/>
      <c r="I918" s="30"/>
      <c r="J918" s="30"/>
      <c r="K918" s="30"/>
    </row>
    <row r="919" spans="1:11" ht="13.2">
      <c r="A919" s="82"/>
      <c r="B919" s="82"/>
      <c r="C919" s="117"/>
      <c r="E919" s="118"/>
      <c r="F919" s="82"/>
      <c r="G919" s="30"/>
      <c r="H919" s="30"/>
      <c r="I919" s="30"/>
      <c r="J919" s="30"/>
      <c r="K919" s="30"/>
    </row>
    <row r="920" spans="1:11" ht="13.2">
      <c r="A920" s="82"/>
      <c r="B920" s="82"/>
      <c r="C920" s="117"/>
      <c r="E920" s="118"/>
      <c r="F920" s="82"/>
      <c r="G920" s="30"/>
      <c r="H920" s="30"/>
      <c r="I920" s="30"/>
      <c r="J920" s="30"/>
      <c r="K920" s="30"/>
    </row>
    <row r="921" spans="1:11" ht="13.2">
      <c r="A921" s="82"/>
      <c r="B921" s="82"/>
      <c r="C921" s="117"/>
      <c r="E921" s="118"/>
      <c r="F921" s="82"/>
      <c r="G921" s="30"/>
      <c r="H921" s="30"/>
      <c r="I921" s="30"/>
      <c r="J921" s="30"/>
      <c r="K921" s="30"/>
    </row>
    <row r="922" spans="1:11" ht="13.2">
      <c r="A922" s="82"/>
      <c r="B922" s="82"/>
      <c r="C922" s="117"/>
      <c r="E922" s="118"/>
      <c r="F922" s="82"/>
      <c r="G922" s="30"/>
      <c r="H922" s="30"/>
      <c r="I922" s="30"/>
      <c r="J922" s="30"/>
      <c r="K922" s="30"/>
    </row>
    <row r="923" spans="1:11" ht="13.2">
      <c r="A923" s="82"/>
      <c r="B923" s="82"/>
      <c r="C923" s="117"/>
      <c r="E923" s="118"/>
      <c r="F923" s="82"/>
      <c r="G923" s="30"/>
      <c r="H923" s="30"/>
      <c r="I923" s="30"/>
      <c r="J923" s="30"/>
      <c r="K923" s="30"/>
    </row>
    <row r="924" spans="1:11" ht="13.2">
      <c r="A924" s="82"/>
      <c r="B924" s="82"/>
      <c r="C924" s="117"/>
      <c r="E924" s="118"/>
      <c r="F924" s="82"/>
      <c r="G924" s="30"/>
      <c r="H924" s="30"/>
      <c r="I924" s="30"/>
      <c r="J924" s="30"/>
      <c r="K924" s="30"/>
    </row>
    <row r="925" spans="1:11" ht="13.2">
      <c r="A925" s="82"/>
      <c r="B925" s="82"/>
      <c r="C925" s="117"/>
      <c r="E925" s="118"/>
      <c r="F925" s="82"/>
      <c r="G925" s="30"/>
      <c r="H925" s="30"/>
      <c r="I925" s="30"/>
      <c r="J925" s="30"/>
      <c r="K925" s="30"/>
    </row>
    <row r="926" spans="1:11" ht="13.2">
      <c r="A926" s="82"/>
      <c r="B926" s="82"/>
      <c r="C926" s="117"/>
      <c r="E926" s="118"/>
      <c r="F926" s="82"/>
      <c r="G926" s="30"/>
      <c r="H926" s="30"/>
      <c r="I926" s="30"/>
      <c r="J926" s="30"/>
      <c r="K926" s="30"/>
    </row>
    <row r="927" spans="1:11" ht="13.2">
      <c r="A927" s="82"/>
      <c r="B927" s="82"/>
      <c r="C927" s="117"/>
      <c r="E927" s="118"/>
      <c r="F927" s="82"/>
      <c r="G927" s="30"/>
      <c r="H927" s="30"/>
      <c r="I927" s="30"/>
      <c r="J927" s="30"/>
      <c r="K927" s="30"/>
    </row>
    <row r="928" spans="1:11" ht="13.2">
      <c r="A928" s="82"/>
      <c r="B928" s="82"/>
      <c r="C928" s="117"/>
      <c r="E928" s="118"/>
      <c r="F928" s="82"/>
      <c r="G928" s="30"/>
      <c r="H928" s="30"/>
      <c r="I928" s="30"/>
      <c r="J928" s="30"/>
      <c r="K928" s="30"/>
    </row>
    <row r="929" spans="1:11" ht="13.2">
      <c r="A929" s="82"/>
      <c r="B929" s="82"/>
      <c r="C929" s="117"/>
      <c r="E929" s="118"/>
      <c r="F929" s="82"/>
      <c r="G929" s="30"/>
      <c r="H929" s="30"/>
      <c r="I929" s="30"/>
      <c r="J929" s="30"/>
      <c r="K929" s="30"/>
    </row>
    <row r="930" spans="1:11" ht="13.2">
      <c r="A930" s="82"/>
      <c r="B930" s="82"/>
      <c r="C930" s="117"/>
      <c r="E930" s="118"/>
      <c r="F930" s="82"/>
      <c r="G930" s="30"/>
      <c r="H930" s="30"/>
      <c r="I930" s="30"/>
      <c r="J930" s="30"/>
      <c r="K930" s="30"/>
    </row>
    <row r="931" spans="1:11" ht="13.2">
      <c r="A931" s="82"/>
      <c r="B931" s="82"/>
      <c r="C931" s="117"/>
      <c r="E931" s="118"/>
      <c r="F931" s="82"/>
      <c r="G931" s="30"/>
      <c r="H931" s="30"/>
      <c r="I931" s="30"/>
      <c r="J931" s="30"/>
      <c r="K931" s="30"/>
    </row>
    <row r="932" spans="1:11" ht="13.2">
      <c r="A932" s="82"/>
      <c r="B932" s="82"/>
      <c r="C932" s="117"/>
      <c r="E932" s="118"/>
      <c r="F932" s="82"/>
      <c r="G932" s="30"/>
      <c r="H932" s="30"/>
      <c r="I932" s="30"/>
      <c r="J932" s="30"/>
      <c r="K932" s="30"/>
    </row>
    <row r="933" spans="1:11" ht="13.2">
      <c r="A933" s="82"/>
      <c r="B933" s="82"/>
      <c r="C933" s="117"/>
      <c r="E933" s="118"/>
      <c r="F933" s="82"/>
      <c r="G933" s="30"/>
      <c r="H933" s="30"/>
      <c r="I933" s="30"/>
      <c r="J933" s="30"/>
      <c r="K933" s="30"/>
    </row>
    <row r="934" spans="1:11" ht="13.2">
      <c r="A934" s="82"/>
      <c r="B934" s="82"/>
      <c r="C934" s="117"/>
      <c r="E934" s="118"/>
      <c r="F934" s="82"/>
      <c r="G934" s="30"/>
      <c r="H934" s="30"/>
      <c r="I934" s="30"/>
      <c r="J934" s="30"/>
      <c r="K934" s="30"/>
    </row>
    <row r="935" spans="1:11" ht="13.2">
      <c r="A935" s="82"/>
      <c r="B935" s="82"/>
      <c r="C935" s="117"/>
      <c r="E935" s="118"/>
      <c r="F935" s="82"/>
      <c r="G935" s="30"/>
      <c r="H935" s="30"/>
      <c r="I935" s="30"/>
      <c r="J935" s="30"/>
      <c r="K935" s="30"/>
    </row>
    <row r="936" spans="1:11" ht="13.2">
      <c r="A936" s="82"/>
      <c r="B936" s="82"/>
      <c r="C936" s="117"/>
      <c r="E936" s="118"/>
      <c r="F936" s="82"/>
      <c r="G936" s="30"/>
      <c r="H936" s="30"/>
      <c r="I936" s="30"/>
      <c r="J936" s="30"/>
      <c r="K936" s="30"/>
    </row>
    <row r="937" spans="1:11" ht="13.2">
      <c r="A937" s="82"/>
      <c r="B937" s="82"/>
      <c r="C937" s="117"/>
      <c r="E937" s="118"/>
      <c r="F937" s="82"/>
      <c r="G937" s="30"/>
      <c r="H937" s="30"/>
      <c r="I937" s="30"/>
      <c r="J937" s="30"/>
      <c r="K937" s="30"/>
    </row>
    <row r="938" spans="1:11" ht="13.2">
      <c r="A938" s="82"/>
      <c r="B938" s="82"/>
      <c r="C938" s="117"/>
      <c r="E938" s="118"/>
      <c r="F938" s="82"/>
      <c r="G938" s="30"/>
      <c r="H938" s="30"/>
      <c r="I938" s="30"/>
      <c r="J938" s="30"/>
      <c r="K938" s="30"/>
    </row>
    <row r="939" spans="1:11" ht="13.2">
      <c r="A939" s="82"/>
      <c r="B939" s="82"/>
      <c r="C939" s="117"/>
      <c r="E939" s="118"/>
      <c r="F939" s="82"/>
      <c r="G939" s="30"/>
      <c r="H939" s="30"/>
      <c r="I939" s="30"/>
      <c r="J939" s="30"/>
      <c r="K939" s="30"/>
    </row>
    <row r="940" spans="1:11" ht="13.2">
      <c r="A940" s="82"/>
      <c r="B940" s="82"/>
      <c r="C940" s="117"/>
      <c r="E940" s="118"/>
      <c r="F940" s="82"/>
      <c r="G940" s="30"/>
      <c r="H940" s="30"/>
      <c r="I940" s="30"/>
      <c r="J940" s="30"/>
      <c r="K940" s="30"/>
    </row>
    <row r="941" spans="1:11" ht="13.2">
      <c r="A941" s="82"/>
      <c r="B941" s="82"/>
      <c r="C941" s="117"/>
      <c r="E941" s="118"/>
      <c r="F941" s="82"/>
      <c r="G941" s="30"/>
      <c r="H941" s="30"/>
      <c r="I941" s="30"/>
      <c r="J941" s="30"/>
      <c r="K941" s="30"/>
    </row>
    <row r="942" spans="1:11" ht="13.2">
      <c r="A942" s="82"/>
      <c r="B942" s="82"/>
      <c r="C942" s="117"/>
      <c r="E942" s="118"/>
      <c r="F942" s="82"/>
      <c r="G942" s="30"/>
      <c r="H942" s="30"/>
      <c r="I942" s="30"/>
      <c r="J942" s="30"/>
      <c r="K942" s="30"/>
    </row>
    <row r="943" spans="1:11" ht="13.2">
      <c r="A943" s="82"/>
      <c r="B943" s="82"/>
      <c r="C943" s="117"/>
      <c r="E943" s="118"/>
      <c r="F943" s="82"/>
      <c r="G943" s="30"/>
      <c r="H943" s="30"/>
      <c r="I943" s="30"/>
      <c r="J943" s="30"/>
      <c r="K943" s="30"/>
    </row>
    <row r="944" spans="1:11" ht="13.2">
      <c r="A944" s="82"/>
      <c r="B944" s="82"/>
      <c r="C944" s="117"/>
      <c r="E944" s="118"/>
      <c r="F944" s="82"/>
      <c r="G944" s="30"/>
      <c r="H944" s="30"/>
      <c r="I944" s="30"/>
      <c r="J944" s="30"/>
      <c r="K944" s="30"/>
    </row>
    <row r="945" spans="1:11" ht="13.2">
      <c r="A945" s="82"/>
      <c r="B945" s="82"/>
      <c r="C945" s="117"/>
      <c r="E945" s="118"/>
      <c r="F945" s="82"/>
      <c r="G945" s="30"/>
      <c r="H945" s="30"/>
      <c r="I945" s="30"/>
      <c r="J945" s="30"/>
      <c r="K945" s="30"/>
    </row>
    <row r="946" spans="1:11" ht="13.2">
      <c r="A946" s="82"/>
      <c r="B946" s="82"/>
      <c r="C946" s="117"/>
      <c r="E946" s="118"/>
      <c r="F946" s="82"/>
      <c r="G946" s="30"/>
      <c r="H946" s="30"/>
      <c r="I946" s="30"/>
      <c r="J946" s="30"/>
      <c r="K946" s="30"/>
    </row>
    <row r="947" spans="1:11" ht="13.2">
      <c r="A947" s="82"/>
      <c r="B947" s="82"/>
      <c r="C947" s="117"/>
      <c r="E947" s="118"/>
      <c r="F947" s="82"/>
      <c r="G947" s="30"/>
      <c r="H947" s="30"/>
      <c r="I947" s="30"/>
      <c r="J947" s="30"/>
      <c r="K947" s="30"/>
    </row>
    <row r="948" spans="1:11" ht="13.2">
      <c r="A948" s="82"/>
      <c r="B948" s="82"/>
      <c r="C948" s="117"/>
      <c r="E948" s="118"/>
      <c r="F948" s="82"/>
      <c r="G948" s="30"/>
      <c r="H948" s="30"/>
      <c r="I948" s="30"/>
      <c r="J948" s="30"/>
      <c r="K948" s="30"/>
    </row>
    <row r="949" spans="1:11" ht="13.2">
      <c r="A949" s="82"/>
      <c r="B949" s="82"/>
      <c r="C949" s="117"/>
      <c r="E949" s="118"/>
      <c r="F949" s="82"/>
      <c r="G949" s="30"/>
      <c r="H949" s="30"/>
      <c r="I949" s="30"/>
      <c r="J949" s="30"/>
      <c r="K949" s="30"/>
    </row>
    <row r="950" spans="1:11" ht="13.2">
      <c r="A950" s="82"/>
      <c r="B950" s="82"/>
      <c r="C950" s="117"/>
      <c r="E950" s="118"/>
      <c r="F950" s="82"/>
      <c r="G950" s="30"/>
      <c r="H950" s="30"/>
      <c r="I950" s="30"/>
      <c r="J950" s="30"/>
      <c r="K950" s="30"/>
    </row>
    <row r="951" spans="1:11" ht="13.2">
      <c r="A951" s="82"/>
      <c r="B951" s="82"/>
      <c r="C951" s="117"/>
      <c r="E951" s="118"/>
      <c r="F951" s="82"/>
      <c r="G951" s="30"/>
      <c r="H951" s="30"/>
      <c r="I951" s="30"/>
      <c r="J951" s="30"/>
      <c r="K951" s="30"/>
    </row>
    <row r="952" spans="1:11" ht="13.2">
      <c r="A952" s="82"/>
      <c r="B952" s="82"/>
      <c r="C952" s="117"/>
      <c r="E952" s="118"/>
      <c r="F952" s="82"/>
      <c r="G952" s="30"/>
      <c r="H952" s="30"/>
      <c r="I952" s="30"/>
      <c r="J952" s="30"/>
      <c r="K952" s="30"/>
    </row>
    <row r="953" spans="1:11" ht="13.2">
      <c r="A953" s="82"/>
      <c r="B953" s="82"/>
      <c r="C953" s="117"/>
      <c r="E953" s="118"/>
      <c r="F953" s="82"/>
      <c r="G953" s="30"/>
      <c r="H953" s="30"/>
      <c r="I953" s="30"/>
      <c r="J953" s="30"/>
      <c r="K953" s="30"/>
    </row>
    <row r="954" spans="1:11" ht="13.2">
      <c r="A954" s="82"/>
      <c r="B954" s="82"/>
      <c r="C954" s="117"/>
      <c r="E954" s="118"/>
      <c r="F954" s="82"/>
      <c r="G954" s="30"/>
      <c r="H954" s="30"/>
      <c r="I954" s="30"/>
      <c r="J954" s="30"/>
      <c r="K954" s="30"/>
    </row>
    <row r="955" spans="1:11" ht="13.2">
      <c r="A955" s="82"/>
      <c r="B955" s="82"/>
      <c r="C955" s="117"/>
      <c r="E955" s="118"/>
      <c r="F955" s="82"/>
      <c r="G955" s="30"/>
      <c r="H955" s="30"/>
      <c r="I955" s="30"/>
      <c r="J955" s="30"/>
      <c r="K955" s="30"/>
    </row>
    <row r="956" spans="1:11" ht="13.2">
      <c r="A956" s="82"/>
      <c r="B956" s="82"/>
      <c r="C956" s="117"/>
      <c r="E956" s="118"/>
      <c r="F956" s="82"/>
      <c r="G956" s="30"/>
      <c r="H956" s="30"/>
      <c r="I956" s="30"/>
      <c r="J956" s="30"/>
      <c r="K956" s="30"/>
    </row>
    <row r="957" spans="1:11" ht="13.2">
      <c r="A957" s="82"/>
      <c r="B957" s="82"/>
      <c r="C957" s="117"/>
      <c r="E957" s="118"/>
      <c r="F957" s="82"/>
      <c r="G957" s="30"/>
      <c r="H957" s="30"/>
      <c r="I957" s="30"/>
      <c r="J957" s="30"/>
      <c r="K957" s="30"/>
    </row>
    <row r="958" spans="1:11" ht="13.2">
      <c r="A958" s="82"/>
      <c r="B958" s="82"/>
      <c r="C958" s="117"/>
      <c r="E958" s="118"/>
      <c r="F958" s="82"/>
      <c r="G958" s="30"/>
      <c r="H958" s="30"/>
      <c r="I958" s="30"/>
      <c r="J958" s="30"/>
      <c r="K958" s="30"/>
    </row>
    <row r="959" spans="1:11" ht="13.2">
      <c r="A959" s="82"/>
      <c r="B959" s="82"/>
      <c r="C959" s="117"/>
      <c r="E959" s="118"/>
      <c r="F959" s="82"/>
      <c r="G959" s="30"/>
      <c r="H959" s="30"/>
      <c r="I959" s="30"/>
      <c r="J959" s="30"/>
      <c r="K959" s="30"/>
    </row>
    <row r="960" spans="1:11" ht="13.2">
      <c r="A960" s="82"/>
      <c r="B960" s="82"/>
      <c r="C960" s="117"/>
      <c r="E960" s="118"/>
      <c r="F960" s="82"/>
      <c r="G960" s="30"/>
      <c r="H960" s="30"/>
      <c r="I960" s="30"/>
      <c r="J960" s="30"/>
      <c r="K960" s="30"/>
    </row>
    <row r="961" spans="1:11" ht="13.2">
      <c r="A961" s="82"/>
      <c r="B961" s="82"/>
      <c r="C961" s="117"/>
      <c r="E961" s="118"/>
      <c r="F961" s="82"/>
      <c r="G961" s="30"/>
      <c r="H961" s="30"/>
      <c r="I961" s="30"/>
      <c r="J961" s="30"/>
      <c r="K961" s="30"/>
    </row>
    <row r="962" spans="1:11" ht="13.2">
      <c r="A962" s="82"/>
      <c r="B962" s="82"/>
      <c r="C962" s="117"/>
      <c r="E962" s="118"/>
      <c r="F962" s="82"/>
      <c r="G962" s="30"/>
      <c r="H962" s="30"/>
      <c r="I962" s="30"/>
      <c r="J962" s="30"/>
      <c r="K962" s="30"/>
    </row>
    <row r="963" spans="1:11" ht="13.2">
      <c r="A963" s="82"/>
      <c r="B963" s="82"/>
      <c r="C963" s="117"/>
      <c r="E963" s="118"/>
      <c r="F963" s="82"/>
      <c r="G963" s="30"/>
      <c r="H963" s="30"/>
      <c r="I963" s="30"/>
      <c r="J963" s="30"/>
      <c r="K963" s="30"/>
    </row>
    <row r="964" spans="1:11" ht="13.2">
      <c r="A964" s="82"/>
      <c r="B964" s="82"/>
      <c r="C964" s="117"/>
      <c r="E964" s="118"/>
      <c r="F964" s="82"/>
      <c r="G964" s="30"/>
      <c r="H964" s="30"/>
      <c r="I964" s="30"/>
      <c r="J964" s="30"/>
      <c r="K964" s="30"/>
    </row>
    <row r="965" spans="1:11" ht="13.2">
      <c r="A965" s="82"/>
      <c r="B965" s="82"/>
      <c r="C965" s="117"/>
      <c r="E965" s="118"/>
      <c r="F965" s="82"/>
      <c r="G965" s="30"/>
      <c r="H965" s="30"/>
      <c r="I965" s="30"/>
      <c r="J965" s="30"/>
      <c r="K965" s="30"/>
    </row>
    <row r="966" spans="1:11" ht="13.2">
      <c r="A966" s="82"/>
      <c r="B966" s="82"/>
      <c r="C966" s="117"/>
      <c r="E966" s="118"/>
      <c r="F966" s="82"/>
      <c r="G966" s="30"/>
      <c r="H966" s="30"/>
      <c r="I966" s="30"/>
      <c r="J966" s="30"/>
      <c r="K966" s="30"/>
    </row>
    <row r="967" spans="1:11" ht="13.2">
      <c r="A967" s="82"/>
      <c r="B967" s="82"/>
      <c r="C967" s="117"/>
      <c r="E967" s="118"/>
      <c r="F967" s="82"/>
      <c r="G967" s="30"/>
      <c r="H967" s="30"/>
      <c r="I967" s="30"/>
      <c r="J967" s="30"/>
      <c r="K967" s="30"/>
    </row>
    <row r="968" spans="1:11" ht="13.2">
      <c r="A968" s="82"/>
      <c r="B968" s="82"/>
      <c r="C968" s="117"/>
      <c r="E968" s="118"/>
      <c r="F968" s="82"/>
      <c r="G968" s="30"/>
      <c r="H968" s="30"/>
      <c r="I968" s="30"/>
      <c r="J968" s="30"/>
      <c r="K968" s="30"/>
    </row>
    <row r="969" spans="1:11" ht="13.2">
      <c r="A969" s="82"/>
      <c r="B969" s="82"/>
      <c r="C969" s="117"/>
      <c r="E969" s="118"/>
      <c r="F969" s="82"/>
      <c r="G969" s="30"/>
      <c r="H969" s="30"/>
      <c r="I969" s="30"/>
      <c r="J969" s="30"/>
      <c r="K969" s="30"/>
    </row>
    <row r="970" spans="1:11" ht="13.2">
      <c r="A970" s="82"/>
      <c r="B970" s="82"/>
      <c r="C970" s="117"/>
      <c r="E970" s="118"/>
      <c r="F970" s="82"/>
      <c r="G970" s="30"/>
      <c r="H970" s="30"/>
      <c r="I970" s="30"/>
      <c r="J970" s="30"/>
      <c r="K970" s="30"/>
    </row>
    <row r="971" spans="1:11" ht="13.2">
      <c r="A971" s="82"/>
      <c r="B971" s="82"/>
      <c r="C971" s="117"/>
      <c r="E971" s="118"/>
      <c r="F971" s="82"/>
      <c r="G971" s="30"/>
      <c r="H971" s="30"/>
      <c r="I971" s="30"/>
      <c r="J971" s="30"/>
      <c r="K971" s="30"/>
    </row>
    <row r="972" spans="1:11" ht="13.2">
      <c r="A972" s="82"/>
      <c r="B972" s="82"/>
      <c r="C972" s="117"/>
      <c r="E972" s="118"/>
      <c r="F972" s="82"/>
      <c r="G972" s="30"/>
      <c r="H972" s="30"/>
      <c r="I972" s="30"/>
      <c r="J972" s="30"/>
      <c r="K972" s="30"/>
    </row>
    <row r="973" spans="1:11" ht="13.2">
      <c r="A973" s="82"/>
      <c r="B973" s="82"/>
      <c r="C973" s="117"/>
      <c r="E973" s="118"/>
      <c r="F973" s="82"/>
      <c r="G973" s="30"/>
      <c r="H973" s="30"/>
      <c r="I973" s="30"/>
      <c r="J973" s="30"/>
      <c r="K973" s="30"/>
    </row>
    <row r="974" spans="1:11" ht="13.2">
      <c r="A974" s="82"/>
      <c r="B974" s="82"/>
      <c r="C974" s="117"/>
      <c r="E974" s="118"/>
      <c r="F974" s="82"/>
      <c r="G974" s="30"/>
      <c r="H974" s="30"/>
      <c r="I974" s="30"/>
      <c r="J974" s="30"/>
      <c r="K974" s="30"/>
    </row>
    <row r="975" spans="1:11" ht="13.2">
      <c r="A975" s="82"/>
      <c r="B975" s="82"/>
      <c r="C975" s="117"/>
      <c r="E975" s="118"/>
      <c r="F975" s="82"/>
      <c r="G975" s="30"/>
      <c r="H975" s="30"/>
      <c r="I975" s="30"/>
      <c r="J975" s="30"/>
      <c r="K975" s="30"/>
    </row>
    <row r="976" spans="1:11" ht="13.2">
      <c r="A976" s="82"/>
      <c r="B976" s="82"/>
      <c r="C976" s="117"/>
      <c r="E976" s="118"/>
      <c r="F976" s="82"/>
      <c r="G976" s="30"/>
      <c r="H976" s="30"/>
      <c r="I976" s="30"/>
      <c r="J976" s="30"/>
      <c r="K976" s="30"/>
    </row>
    <row r="977" spans="1:11" ht="13.2">
      <c r="A977" s="82"/>
      <c r="B977" s="82"/>
      <c r="C977" s="117"/>
      <c r="E977" s="118"/>
      <c r="F977" s="82"/>
      <c r="G977" s="30"/>
      <c r="H977" s="30"/>
      <c r="I977" s="30"/>
      <c r="J977" s="30"/>
      <c r="K977" s="30"/>
    </row>
    <row r="978" spans="1:11" ht="13.2">
      <c r="A978" s="82"/>
      <c r="B978" s="82"/>
      <c r="C978" s="117"/>
      <c r="E978" s="118"/>
      <c r="F978" s="82"/>
      <c r="G978" s="30"/>
      <c r="H978" s="30"/>
      <c r="I978" s="30"/>
      <c r="J978" s="30"/>
      <c r="K978" s="30"/>
    </row>
    <row r="979" spans="1:11" ht="13.2">
      <c r="A979" s="82"/>
      <c r="B979" s="82"/>
      <c r="C979" s="117"/>
      <c r="E979" s="118"/>
      <c r="F979" s="82"/>
      <c r="G979" s="30"/>
      <c r="H979" s="30"/>
      <c r="I979" s="30"/>
      <c r="J979" s="30"/>
      <c r="K979" s="30"/>
    </row>
    <row r="980" spans="1:11" ht="13.2">
      <c r="A980" s="82"/>
      <c r="B980" s="82"/>
      <c r="C980" s="117"/>
      <c r="E980" s="118"/>
      <c r="F980" s="82"/>
      <c r="G980" s="30"/>
      <c r="H980" s="30"/>
      <c r="I980" s="30"/>
      <c r="J980" s="30"/>
      <c r="K980" s="30"/>
    </row>
    <row r="981" spans="1:11" ht="13.2">
      <c r="A981" s="82"/>
      <c r="B981" s="82"/>
      <c r="C981" s="117"/>
      <c r="E981" s="118"/>
      <c r="F981" s="82"/>
      <c r="G981" s="30"/>
      <c r="H981" s="30"/>
      <c r="I981" s="30"/>
      <c r="J981" s="30"/>
      <c r="K981" s="30"/>
    </row>
    <row r="982" spans="1:11" ht="13.2">
      <c r="A982" s="82"/>
      <c r="B982" s="82"/>
      <c r="C982" s="117"/>
      <c r="E982" s="118"/>
      <c r="F982" s="82"/>
      <c r="G982" s="30"/>
      <c r="H982" s="30"/>
      <c r="I982" s="30"/>
      <c r="J982" s="30"/>
      <c r="K982" s="30"/>
    </row>
    <row r="983" spans="1:11" ht="13.2">
      <c r="A983" s="82"/>
      <c r="B983" s="82"/>
      <c r="C983" s="117"/>
      <c r="E983" s="118"/>
      <c r="F983" s="82"/>
      <c r="G983" s="30"/>
      <c r="H983" s="30"/>
      <c r="I983" s="30"/>
      <c r="J983" s="30"/>
      <c r="K983" s="30"/>
    </row>
    <row r="984" spans="1:11" ht="13.2">
      <c r="A984" s="82"/>
      <c r="B984" s="82"/>
      <c r="C984" s="117"/>
      <c r="E984" s="118"/>
      <c r="F984" s="82"/>
      <c r="G984" s="30"/>
      <c r="H984" s="30"/>
      <c r="I984" s="30"/>
      <c r="J984" s="30"/>
      <c r="K984" s="30"/>
    </row>
    <row r="985" spans="1:11" ht="13.2">
      <c r="A985" s="82"/>
      <c r="B985" s="82"/>
      <c r="C985" s="117"/>
      <c r="E985" s="118"/>
      <c r="F985" s="82"/>
      <c r="G985" s="30"/>
      <c r="H985" s="30"/>
      <c r="I985" s="30"/>
      <c r="J985" s="30"/>
      <c r="K985" s="30"/>
    </row>
    <row r="986" spans="1:11" ht="13.2">
      <c r="A986" s="82"/>
      <c r="B986" s="82"/>
      <c r="C986" s="117"/>
      <c r="E986" s="118"/>
      <c r="F986" s="82"/>
      <c r="G986" s="30"/>
      <c r="H986" s="30"/>
      <c r="I986" s="30"/>
      <c r="J986" s="30"/>
      <c r="K986" s="30"/>
    </row>
    <row r="987" spans="1:11" ht="13.2">
      <c r="A987" s="82"/>
      <c r="B987" s="82"/>
      <c r="C987" s="117"/>
      <c r="E987" s="118"/>
      <c r="F987" s="82"/>
      <c r="G987" s="30"/>
      <c r="H987" s="30"/>
      <c r="I987" s="30"/>
      <c r="J987" s="30"/>
      <c r="K987" s="30"/>
    </row>
    <row r="988" spans="1:11" ht="13.2">
      <c r="A988" s="82"/>
      <c r="B988" s="82"/>
      <c r="C988" s="117"/>
      <c r="E988" s="118"/>
      <c r="F988" s="82"/>
      <c r="G988" s="30"/>
      <c r="H988" s="30"/>
      <c r="I988" s="30"/>
      <c r="J988" s="30"/>
      <c r="K988" s="30"/>
    </row>
    <row r="989" spans="1:11" ht="13.2">
      <c r="A989" s="82"/>
      <c r="B989" s="82"/>
      <c r="C989" s="117"/>
      <c r="E989" s="118"/>
      <c r="F989" s="82"/>
      <c r="G989" s="30"/>
      <c r="H989" s="30"/>
      <c r="I989" s="30"/>
      <c r="J989" s="30"/>
      <c r="K989" s="30"/>
    </row>
    <row r="990" spans="1:11" ht="13.2">
      <c r="A990" s="82"/>
      <c r="B990" s="82"/>
      <c r="C990" s="117"/>
      <c r="E990" s="118"/>
      <c r="F990" s="82"/>
      <c r="G990" s="30"/>
      <c r="H990" s="30"/>
      <c r="I990" s="30"/>
      <c r="J990" s="30"/>
      <c r="K990" s="30"/>
    </row>
    <row r="991" spans="1:11" ht="13.2">
      <c r="A991" s="82"/>
      <c r="B991" s="82"/>
      <c r="C991" s="117"/>
      <c r="E991" s="118"/>
      <c r="F991" s="82"/>
      <c r="G991" s="30"/>
      <c r="H991" s="30"/>
      <c r="I991" s="30"/>
      <c r="J991" s="30"/>
      <c r="K991" s="30"/>
    </row>
    <row r="992" spans="1:11" ht="13.2">
      <c r="A992" s="82"/>
      <c r="B992" s="82"/>
      <c r="C992" s="117"/>
      <c r="E992" s="118"/>
      <c r="F992" s="82"/>
      <c r="G992" s="30"/>
      <c r="H992" s="30"/>
      <c r="I992" s="30"/>
      <c r="J992" s="30"/>
      <c r="K992" s="30"/>
    </row>
    <row r="993" spans="1:11" ht="13.2">
      <c r="A993" s="82"/>
      <c r="B993" s="82"/>
      <c r="C993" s="117"/>
      <c r="E993" s="118"/>
      <c r="F993" s="82"/>
      <c r="G993" s="30"/>
      <c r="H993" s="30"/>
      <c r="I993" s="30"/>
      <c r="J993" s="30"/>
      <c r="K993" s="30"/>
    </row>
    <row r="994" spans="1:11" ht="13.2">
      <c r="A994" s="82"/>
      <c r="B994" s="82"/>
      <c r="C994" s="117"/>
      <c r="E994" s="118"/>
      <c r="F994" s="82"/>
      <c r="G994" s="30"/>
      <c r="H994" s="30"/>
      <c r="I994" s="30"/>
      <c r="J994" s="30"/>
      <c r="K994" s="30"/>
    </row>
    <row r="995" spans="1:11" ht="13.2">
      <c r="A995" s="82"/>
      <c r="B995" s="82"/>
      <c r="C995" s="117"/>
      <c r="E995" s="118"/>
      <c r="F995" s="82"/>
      <c r="G995" s="30"/>
      <c r="H995" s="30"/>
      <c r="I995" s="30"/>
      <c r="J995" s="30"/>
      <c r="K995" s="30"/>
    </row>
    <row r="996" spans="1:11" ht="13.2">
      <c r="A996" s="82"/>
      <c r="B996" s="82"/>
      <c r="C996" s="117"/>
      <c r="E996" s="118"/>
      <c r="F996" s="82"/>
      <c r="G996" s="30"/>
      <c r="H996" s="30"/>
      <c r="I996" s="30"/>
      <c r="J996" s="30"/>
      <c r="K996" s="30"/>
    </row>
    <row r="997" spans="1:11" ht="13.2">
      <c r="A997" s="82"/>
      <c r="B997" s="82"/>
      <c r="C997" s="117"/>
      <c r="E997" s="118"/>
      <c r="F997" s="82"/>
      <c r="G997" s="30"/>
      <c r="H997" s="30"/>
      <c r="I997" s="30"/>
      <c r="J997" s="30"/>
      <c r="K997" s="30"/>
    </row>
    <row r="998" spans="1:11" ht="13.2">
      <c r="A998" s="82"/>
      <c r="B998" s="82"/>
      <c r="C998" s="117"/>
      <c r="E998" s="118"/>
      <c r="F998" s="82"/>
      <c r="G998" s="30"/>
      <c r="H998" s="30"/>
      <c r="I998" s="30"/>
      <c r="J998" s="30"/>
      <c r="K998" s="30"/>
    </row>
    <row r="999" spans="1:11" ht="13.2">
      <c r="A999" s="82"/>
      <c r="B999" s="82"/>
      <c r="C999" s="117"/>
      <c r="E999" s="118"/>
      <c r="F999" s="82"/>
      <c r="G999" s="30"/>
      <c r="H999" s="30"/>
      <c r="I999" s="30"/>
      <c r="J999" s="30"/>
      <c r="K999" s="30"/>
    </row>
  </sheetData>
  <autoFilter ref="A2:K104"/>
  <mergeCells count="2">
    <mergeCell ref="A1:F1"/>
    <mergeCell ref="G1:K1"/>
  </mergeCells>
  <conditionalFormatting sqref="E2:E999">
    <cfRule type="containsText" dxfId="1" priority="1" operator="containsText" text="SŠ">
      <formula>NOT(ISERROR(SEARCH(("SŠ"),(E2))))</formula>
    </cfRule>
  </conditionalFormatting>
  <hyperlinks>
    <hyperlink ref="C5" r:id="rId1"/>
  </hyperlinks>
  <pageMargins left="0.7" right="0.7" top="0.75" bottom="0.75" header="0.3" footer="0.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outlinePr summaryBelow="0" summaryRight="0"/>
    <pageSetUpPr fitToPage="1"/>
  </sheetPr>
  <dimension ref="A1:G1008"/>
  <sheetViews>
    <sheetView workbookViewId="0">
      <pane ySplit="2" topLeftCell="A3" activePane="bottomLeft" state="frozen"/>
      <selection pane="bottomLeft" activeCell="B4" sqref="B4"/>
    </sheetView>
  </sheetViews>
  <sheetFormatPr defaultColWidth="14.44140625" defaultRowHeight="15.75" customHeight="1"/>
  <cols>
    <col min="1" max="1" width="17.88671875" customWidth="1"/>
    <col min="2" max="2" width="17.6640625" customWidth="1"/>
    <col min="3" max="3" width="23.6640625" customWidth="1"/>
    <col min="4" max="4" width="28.44140625" customWidth="1"/>
    <col min="7" max="7" width="11" customWidth="1"/>
  </cols>
  <sheetData>
    <row r="1" spans="1:7" ht="15.75" customHeight="1">
      <c r="A1" s="193" t="s">
        <v>233</v>
      </c>
      <c r="B1" s="167"/>
      <c r="C1" s="167"/>
      <c r="D1" s="167"/>
      <c r="E1" s="167"/>
      <c r="F1" s="167"/>
      <c r="G1" s="168"/>
    </row>
    <row r="2" spans="1:7" ht="15.75" customHeight="1">
      <c r="A2" s="3" t="s">
        <v>13</v>
      </c>
      <c r="B2" s="3" t="s">
        <v>6</v>
      </c>
      <c r="C2" s="3" t="s">
        <v>234</v>
      </c>
      <c r="D2" s="3" t="s">
        <v>7</v>
      </c>
      <c r="E2" s="3" t="s">
        <v>235</v>
      </c>
      <c r="F2" s="3" t="s">
        <v>236</v>
      </c>
      <c r="G2" s="3" t="s">
        <v>30</v>
      </c>
    </row>
    <row r="3" spans="1:7" ht="15.75" customHeight="1">
      <c r="A3" s="15">
        <f ca="1">IFERROR(__xludf.DUMMYFUNCTION("query(Data,""select A,D,L,C,Y where Y = 'ZŠ' AND AE = TRUE "")"),9)</f>
        <v>9</v>
      </c>
      <c r="B3" s="17" t="str">
        <f ca="1">IFERROR(__xludf.DUMMYFUNCTION("""COMPUTED_VALUE"""),"RobozBos")</f>
        <v>RobozBos</v>
      </c>
      <c r="C3" s="137" t="str">
        <f ca="1">IFERROR(__xludf.DUMMYFUNCTION("""COMPUTED_VALUE"""),"")</f>
        <v/>
      </c>
      <c r="D3" s="28" t="str">
        <f ca="1">IFERROR(__xludf.DUMMYFUNCTION("""COMPUTED_VALUE"""),"Gymnázium Boskovice")</f>
        <v>Gymnázium Boskovice</v>
      </c>
      <c r="E3" s="15" t="str">
        <f ca="1">IFERROR(__xludf.DUMMYFUNCTION("""COMPUTED_VALUE"""),"ZŠ")</f>
        <v>ZŠ</v>
      </c>
      <c r="F3" s="138"/>
      <c r="G3" s="139" t="str">
        <f t="shared" ref="G3:G20" si="0">IFERROR(RANK(F3,$F$3:$F$20,0),"")</f>
        <v/>
      </c>
    </row>
    <row r="4" spans="1:7" ht="15.75" customHeight="1">
      <c r="A4" s="15">
        <f ca="1">IFERROR(__xludf.DUMMYFUNCTION("""COMPUTED_VALUE"""),13)</f>
        <v>13</v>
      </c>
      <c r="B4" s="17" t="str">
        <f ca="1">IFERROR(__xludf.DUMMYFUNCTION("""COMPUTED_VALUE"""),"(J)elita z GVID")</f>
        <v>(J)elita z GVID</v>
      </c>
      <c r="C4" s="140" t="str">
        <f ca="1">IFERROR(__xludf.DUMMYFUNCTION("""COMPUTED_VALUE"""),"")</f>
        <v/>
      </c>
      <c r="D4" s="17" t="str">
        <f ca="1">IFERROR(__xludf.DUMMYFUNCTION("""COMPUTED_VALUE"""),"Gymnázium Brno, Vídeňská")</f>
        <v>Gymnázium Brno, Vídeňská</v>
      </c>
      <c r="E4" s="15" t="str">
        <f ca="1">IFERROR(__xludf.DUMMYFUNCTION("""COMPUTED_VALUE"""),"ZŠ")</f>
        <v>ZŠ</v>
      </c>
      <c r="F4" s="138"/>
      <c r="G4" s="139" t="str">
        <f t="shared" si="0"/>
        <v/>
      </c>
    </row>
    <row r="5" spans="1:7" ht="15.75" customHeight="1">
      <c r="A5" s="15">
        <f ca="1">IFERROR(__xludf.DUMMYFUNCTION("""COMPUTED_VALUE"""),36)</f>
        <v>36</v>
      </c>
      <c r="B5" s="17" t="str">
        <f ca="1">IFERROR(__xludf.DUMMYFUNCTION("""COMPUTED_VALUE"""),"Pavlínka")</f>
        <v>Pavlínka</v>
      </c>
      <c r="C5" s="141" t="str">
        <f ca="1">IFERROR(__xludf.DUMMYFUNCTION("""COMPUTED_VALUE"""),"")</f>
        <v/>
      </c>
      <c r="D5" s="28" t="str">
        <f ca="1">IFERROR(__xludf.DUMMYFUNCTION("""COMPUTED_VALUE"""),"domácí vzdělávání, kmenová škola ZŠ Deštné v Orlických horách")</f>
        <v>domácí vzdělávání, kmenová škola ZŠ Deštné v Orlických horách</v>
      </c>
      <c r="E5" s="15" t="str">
        <f ca="1">IFERROR(__xludf.DUMMYFUNCTION("""COMPUTED_VALUE"""),"ZŠ")</f>
        <v>ZŠ</v>
      </c>
      <c r="F5" s="138"/>
      <c r="G5" s="139" t="str">
        <f t="shared" si="0"/>
        <v/>
      </c>
    </row>
    <row r="6" spans="1:7" ht="15.75" customHeight="1">
      <c r="A6" s="15">
        <f ca="1">IFERROR(__xludf.DUMMYFUNCTION("""COMPUTED_VALUE"""),41)</f>
        <v>41</v>
      </c>
      <c r="B6" s="17" t="str">
        <f ca="1">IFERROR(__xludf.DUMMYFUNCTION("""COMPUTED_VALUE"""),"Modrý Masaryk")</f>
        <v>Modrý Masaryk</v>
      </c>
      <c r="C6" s="140" t="str">
        <f ca="1">IFERROR(__xludf.DUMMYFUNCTION("""COMPUTED_VALUE"""),"")</f>
        <v/>
      </c>
      <c r="D6" s="17" t="str">
        <f ca="1">IFERROR(__xludf.DUMMYFUNCTION("""COMPUTED_VALUE"""),"Masarykova ZŠ Plzeň")</f>
        <v>Masarykova ZŠ Plzeň</v>
      </c>
      <c r="E6" s="15" t="str">
        <f ca="1">IFERROR(__xludf.DUMMYFUNCTION("""COMPUTED_VALUE"""),"ZŠ")</f>
        <v>ZŠ</v>
      </c>
      <c r="F6" s="138"/>
      <c r="G6" s="139" t="str">
        <f t="shared" si="0"/>
        <v/>
      </c>
    </row>
    <row r="7" spans="1:7" ht="15.75" customHeight="1">
      <c r="A7" s="15">
        <f ca="1">IFERROR(__xludf.DUMMYFUNCTION("""COMPUTED_VALUE"""),42)</f>
        <v>42</v>
      </c>
      <c r="B7" s="17" t="str">
        <f ca="1">IFERROR(__xludf.DUMMYFUNCTION("""COMPUTED_VALUE"""),"Bílý Masaryk")</f>
        <v>Bílý Masaryk</v>
      </c>
      <c r="C7" s="142" t="str">
        <f ca="1">IFERROR(__xludf.DUMMYFUNCTION("""COMPUTED_VALUE"""),"")</f>
        <v/>
      </c>
      <c r="D7" s="17" t="str">
        <f ca="1">IFERROR(__xludf.DUMMYFUNCTION("""COMPUTED_VALUE"""),"Masarykova ZŠ Plzeň")</f>
        <v>Masarykova ZŠ Plzeň</v>
      </c>
      <c r="E7" s="15" t="str">
        <f ca="1">IFERROR(__xludf.DUMMYFUNCTION("""COMPUTED_VALUE"""),"ZŠ")</f>
        <v>ZŠ</v>
      </c>
      <c r="F7" s="138"/>
      <c r="G7" s="139" t="str">
        <f t="shared" si="0"/>
        <v/>
      </c>
    </row>
    <row r="8" spans="1:7" ht="15.75" customHeight="1">
      <c r="A8" s="15">
        <f ca="1">IFERROR(__xludf.DUMMYFUNCTION("""COMPUTED_VALUE"""),43)</f>
        <v>43</v>
      </c>
      <c r="B8" s="17" t="str">
        <f ca="1">IFERROR(__xludf.DUMMYFUNCTION("""COMPUTED_VALUE"""),"Červený Masaryk")</f>
        <v>Červený Masaryk</v>
      </c>
      <c r="C8" s="137" t="str">
        <f ca="1">IFERROR(__xludf.DUMMYFUNCTION("""COMPUTED_VALUE"""),"")</f>
        <v/>
      </c>
      <c r="D8" s="28" t="str">
        <f ca="1">IFERROR(__xludf.DUMMYFUNCTION("""COMPUTED_VALUE"""),"Masarykova ZŠ Plzeň")</f>
        <v>Masarykova ZŠ Plzeň</v>
      </c>
      <c r="E8" s="15" t="str">
        <f ca="1">IFERROR(__xludf.DUMMYFUNCTION("""COMPUTED_VALUE"""),"ZŠ")</f>
        <v>ZŠ</v>
      </c>
      <c r="F8" s="138"/>
      <c r="G8" s="139" t="str">
        <f t="shared" si="0"/>
        <v/>
      </c>
    </row>
    <row r="9" spans="1:7" ht="15.75" customHeight="1">
      <c r="A9" s="15">
        <f ca="1">IFERROR(__xludf.DUMMYFUNCTION("""COMPUTED_VALUE"""),50)</f>
        <v>50</v>
      </c>
      <c r="B9" s="17" t="str">
        <f ca="1">IFERROR(__xludf.DUMMYFUNCTION("""COMPUTED_VALUE"""),"Lišáci z Vrchlabí")</f>
        <v>Lišáci z Vrchlabí</v>
      </c>
      <c r="C9" s="137" t="str">
        <f ca="1">IFERROR(__xludf.DUMMYFUNCTION("""COMPUTED_VALUE"""),"")</f>
        <v/>
      </c>
      <c r="D9" s="28" t="str">
        <f ca="1">IFERROR(__xludf.DUMMYFUNCTION("""COMPUTED_VALUE"""),"ZŠ Školní Vrchlabí")</f>
        <v>ZŠ Školní Vrchlabí</v>
      </c>
      <c r="E9" s="15" t="str">
        <f ca="1">IFERROR(__xludf.DUMMYFUNCTION("""COMPUTED_VALUE"""),"ZŠ")</f>
        <v>ZŠ</v>
      </c>
      <c r="F9" s="138"/>
      <c r="G9" s="139" t="str">
        <f t="shared" si="0"/>
        <v/>
      </c>
    </row>
    <row r="10" spans="1:7" ht="15.75" customHeight="1">
      <c r="A10" s="15">
        <f ca="1">IFERROR(__xludf.DUMMYFUNCTION("""COMPUTED_VALUE"""),71)</f>
        <v>71</v>
      </c>
      <c r="B10" s="17" t="str">
        <f ca="1">IFERROR(__xludf.DUMMYFUNCTION("""COMPUTED_VALUE"""),"Programmers")</f>
        <v>Programmers</v>
      </c>
      <c r="C10" s="143" t="str">
        <f ca="1">IFERROR(__xludf.DUMMYFUNCTION("""COMPUTED_VALUE"""),"B")</f>
        <v>B</v>
      </c>
      <c r="D10" s="17" t="str">
        <f ca="1">IFERROR(__xludf.DUMMYFUNCTION("""COMPUTED_VALUE"""),"ZŠ Nové Zámky, Nábrežná 95,")</f>
        <v>ZŠ Nové Zámky, Nábrežná 95,</v>
      </c>
      <c r="E10" s="15" t="str">
        <f ca="1">IFERROR(__xludf.DUMMYFUNCTION("""COMPUTED_VALUE"""),"ZŠ")</f>
        <v>ZŠ</v>
      </c>
      <c r="F10" s="138"/>
      <c r="G10" s="139" t="str">
        <f t="shared" si="0"/>
        <v/>
      </c>
    </row>
    <row r="11" spans="1:7" ht="15.75" customHeight="1">
      <c r="A11" s="15">
        <f ca="1">IFERROR(__xludf.DUMMYFUNCTION("""COMPUTED_VALUE"""),72)</f>
        <v>72</v>
      </c>
      <c r="B11" s="17" t="str">
        <f ca="1">IFERROR(__xludf.DUMMYFUNCTION("""COMPUTED_VALUE"""),"Programmers 2")</f>
        <v>Programmers 2</v>
      </c>
      <c r="C11" s="137" t="str">
        <f ca="1">IFERROR(__xludf.DUMMYFUNCTION("""COMPUTED_VALUE"""),"")</f>
        <v/>
      </c>
      <c r="D11" s="28" t="str">
        <f ca="1">IFERROR(__xludf.DUMMYFUNCTION("""COMPUTED_VALUE"""),"ZŠ Nové Zámky, Nábrežná 95,")</f>
        <v>ZŠ Nové Zámky, Nábrežná 95,</v>
      </c>
      <c r="E11" s="15" t="str">
        <f ca="1">IFERROR(__xludf.DUMMYFUNCTION("""COMPUTED_VALUE"""),"ZŠ")</f>
        <v>ZŠ</v>
      </c>
      <c r="F11" s="138"/>
      <c r="G11" s="139" t="str">
        <f t="shared" si="0"/>
        <v/>
      </c>
    </row>
    <row r="12" spans="1:7" ht="15.75" customHeight="1">
      <c r="A12" s="15">
        <f ca="1">IFERROR(__xludf.DUMMYFUNCTION("""COMPUTED_VALUE"""),81)</f>
        <v>81</v>
      </c>
      <c r="B12" s="17" t="str">
        <f ca="1">IFERROR(__xludf.DUMMYFUNCTION("""COMPUTED_VALUE"""),"Matěšpond")</f>
        <v>Matěšpond</v>
      </c>
      <c r="C12" s="141" t="str">
        <f ca="1">IFERROR(__xludf.DUMMYFUNCTION("""COMPUTED_VALUE"""),"")</f>
        <v/>
      </c>
      <c r="D12" s="28" t="str">
        <f ca="1">IFERROR(__xludf.DUMMYFUNCTION("""COMPUTED_VALUE"""),"Gymnázium Zlín - Lesní čtvrť")</f>
        <v>Gymnázium Zlín - Lesní čtvrť</v>
      </c>
      <c r="E12" s="15" t="str">
        <f ca="1">IFERROR(__xludf.DUMMYFUNCTION("""COMPUTED_VALUE"""),"ZŠ")</f>
        <v>ZŠ</v>
      </c>
      <c r="F12" s="138"/>
      <c r="G12" s="139" t="str">
        <f t="shared" si="0"/>
        <v/>
      </c>
    </row>
    <row r="13" spans="1:7" ht="15.75" customHeight="1">
      <c r="A13" s="15">
        <f ca="1">IFERROR(__xludf.DUMMYFUNCTION("""COMPUTED_VALUE"""),82)</f>
        <v>82</v>
      </c>
      <c r="B13" s="148" t="str">
        <f ca="1">IFERROR(__xludf.DUMMYFUNCTION("""COMPUTED_VALUE"""),"Gymzláci")</f>
        <v>Gymzláci</v>
      </c>
      <c r="C13" s="141" t="str">
        <f ca="1">IFERROR(__xludf.DUMMYFUNCTION("""COMPUTED_VALUE"""),"")</f>
        <v/>
      </c>
      <c r="D13" s="28" t="str">
        <f ca="1">IFERROR(__xludf.DUMMYFUNCTION("""COMPUTED_VALUE"""),"Gymnázium Zlín - Lesní čtvrť")</f>
        <v>Gymnázium Zlín - Lesní čtvrť</v>
      </c>
      <c r="E13" s="15" t="str">
        <f ca="1">IFERROR(__xludf.DUMMYFUNCTION("""COMPUTED_VALUE"""),"ZŠ")</f>
        <v>ZŠ</v>
      </c>
      <c r="F13" s="138"/>
      <c r="G13" s="139" t="str">
        <f t="shared" si="0"/>
        <v/>
      </c>
    </row>
    <row r="14" spans="1:7" ht="15.75" customHeight="1">
      <c r="A14" s="15">
        <f ca="1">IFERROR(__xludf.DUMMYFUNCTION("""COMPUTED_VALUE"""),85)</f>
        <v>85</v>
      </c>
      <c r="B14" s="17" t="str">
        <f ca="1">IFERROR(__xludf.DUMMYFUNCTION("""COMPUTED_VALUE"""),"Discindo Universio")</f>
        <v>Discindo Universio</v>
      </c>
      <c r="C14" s="143" t="str">
        <f ca="1">IFERROR(__xludf.DUMMYFUNCTION("""COMPUTED_VALUE"""),"")</f>
        <v/>
      </c>
      <c r="D14" s="17" t="str">
        <f ca="1">IFERROR(__xludf.DUMMYFUNCTION("""COMPUTED_VALUE"""),"Gymniázium Zlín - Lesní čtvrť")</f>
        <v>Gymniázium Zlín - Lesní čtvrť</v>
      </c>
      <c r="E14" s="15" t="str">
        <f ca="1">IFERROR(__xludf.DUMMYFUNCTION("""COMPUTED_VALUE"""),"ZŠ")</f>
        <v>ZŠ</v>
      </c>
      <c r="F14" s="138"/>
      <c r="G14" s="139" t="str">
        <f t="shared" si="0"/>
        <v/>
      </c>
    </row>
    <row r="15" spans="1:7" ht="15.75" customHeight="1">
      <c r="A15" s="5">
        <f ca="1">IFERROR(__xludf.DUMMYFUNCTION("""COMPUTED_VALUE"""),97)</f>
        <v>97</v>
      </c>
      <c r="B15" s="6" t="str">
        <f ca="1">IFERROR(__xludf.DUMMYFUNCTION("""COMPUTED_VALUE"""),"PORG 1")</f>
        <v>PORG 1</v>
      </c>
      <c r="C15" s="150" t="str">
        <f ca="1">IFERROR(__xludf.DUMMYFUNCTION("""COMPUTED_VALUE"""),"")</f>
        <v/>
      </c>
      <c r="D15" s="6" t="str">
        <f ca="1">IFERROR(__xludf.DUMMYFUNCTION("""COMPUTED_VALUE"""),"Gymnázium PORG Praha")</f>
        <v>Gymnázium PORG Praha</v>
      </c>
      <c r="E15" s="5" t="str">
        <f ca="1">IFERROR(__xludf.DUMMYFUNCTION("""COMPUTED_VALUE"""),"ZŠ")</f>
        <v>ZŠ</v>
      </c>
      <c r="F15" s="138"/>
      <c r="G15" s="139" t="str">
        <f t="shared" si="0"/>
        <v/>
      </c>
    </row>
    <row r="16" spans="1:7" ht="15.75" customHeight="1">
      <c r="A16" s="5">
        <f ca="1">IFERROR(__xludf.DUMMYFUNCTION("""COMPUTED_VALUE"""),104)</f>
        <v>104</v>
      </c>
      <c r="B16" s="17" t="str">
        <f ca="1">IFERROR(__xludf.DUMMYFUNCTION("""COMPUTED_VALUE"""),"G-skill")</f>
        <v>G-skill</v>
      </c>
      <c r="C16" s="141" t="str">
        <f ca="1">IFERROR(__xludf.DUMMYFUNCTION("""COMPUTED_VALUE"""),"")</f>
        <v/>
      </c>
      <c r="D16" s="28" t="str">
        <f ca="1">IFERROR(__xludf.DUMMYFUNCTION("""COMPUTED_VALUE"""),"Základní škola, Trutnov, R. Frimla 816")</f>
        <v>Základní škola, Trutnov, R. Frimla 816</v>
      </c>
      <c r="E16" s="15" t="str">
        <f ca="1">IFERROR(__xludf.DUMMYFUNCTION("""COMPUTED_VALUE"""),"ZŠ")</f>
        <v>ZŠ</v>
      </c>
      <c r="F16" s="138"/>
      <c r="G16" s="139" t="str">
        <f t="shared" si="0"/>
        <v/>
      </c>
    </row>
    <row r="17" spans="1:7" ht="15.75" customHeight="1">
      <c r="A17" s="15">
        <f ca="1">IFERROR(__xludf.DUMMYFUNCTION("""COMPUTED_VALUE"""),117)</f>
        <v>117</v>
      </c>
      <c r="B17" s="17" t="str">
        <f ca="1">IFERROR(__xludf.DUMMYFUNCTION("""COMPUTED_VALUE"""),"Crazy brick")</f>
        <v>Crazy brick</v>
      </c>
      <c r="C17" s="143" t="str">
        <f ca="1">IFERROR(__xludf.DUMMYFUNCTION("""COMPUTED_VALUE"""),"")</f>
        <v/>
      </c>
      <c r="D17" s="17" t="str">
        <f ca="1">IFERROR(__xludf.DUMMYFUNCTION("""COMPUTED_VALUE"""),"DDM Praha 4 - Hobby centrum 4")</f>
        <v>DDM Praha 4 - Hobby centrum 4</v>
      </c>
      <c r="E17" s="15" t="str">
        <f ca="1">IFERROR(__xludf.DUMMYFUNCTION("""COMPUTED_VALUE"""),"ZŠ")</f>
        <v>ZŠ</v>
      </c>
      <c r="F17" s="138"/>
      <c r="G17" s="139" t="str">
        <f t="shared" si="0"/>
        <v/>
      </c>
    </row>
    <row r="18" spans="1:7" ht="15.75" customHeight="1">
      <c r="A18" s="15">
        <f ca="1">IFERROR(__xludf.DUMMYFUNCTION("""COMPUTED_VALUE"""),125)</f>
        <v>125</v>
      </c>
      <c r="B18" s="17" t="str">
        <f ca="1">IFERROR(__xludf.DUMMYFUNCTION("""COMPUTED_VALUE"""),"GMCT minor")</f>
        <v>GMCT minor</v>
      </c>
      <c r="C18" s="141" t="str">
        <f ca="1">IFERROR(__xludf.DUMMYFUNCTION("""COMPUTED_VALUE"""),"")</f>
        <v/>
      </c>
      <c r="D18" s="28" t="str">
        <f ca="1">IFERROR(__xludf.DUMMYFUNCTION("""COMPUTED_VALUE"""),"Gymnázium Josefa Božka Český Těšín")</f>
        <v>Gymnázium Josefa Božka Český Těšín</v>
      </c>
      <c r="E18" s="15" t="str">
        <f ca="1">IFERROR(__xludf.DUMMYFUNCTION("""COMPUTED_VALUE"""),"ZŠ")</f>
        <v>ZŠ</v>
      </c>
      <c r="F18" s="138"/>
      <c r="G18" s="139" t="str">
        <f t="shared" si="0"/>
        <v/>
      </c>
    </row>
    <row r="19" spans="1:7" ht="15.75" customHeight="1">
      <c r="A19" s="15">
        <f ca="1">IFERROR(__xludf.DUMMYFUNCTION("""COMPUTED_VALUE"""),133)</f>
        <v>133</v>
      </c>
      <c r="B19" s="17" t="str">
        <f ca="1">IFERROR(__xludf.DUMMYFUNCTION("""COMPUTED_VALUE"""),"Černilováci")</f>
        <v>Černilováci</v>
      </c>
      <c r="C19" s="143" t="str">
        <f ca="1">IFERROR(__xludf.DUMMYFUNCTION("""COMPUTED_VALUE"""),"B")</f>
        <v>B</v>
      </c>
      <c r="D19" s="17" t="str">
        <f ca="1">IFERROR(__xludf.DUMMYFUNCTION("""COMPUTED_VALUE"""),"Masarykova jubilejní ZŠ a MŠ Černilov")</f>
        <v>Masarykova jubilejní ZŠ a MŠ Černilov</v>
      </c>
      <c r="E19" s="15" t="str">
        <f ca="1">IFERROR(__xludf.DUMMYFUNCTION("""COMPUTED_VALUE"""),"ZŠ")</f>
        <v>ZŠ</v>
      </c>
      <c r="F19" s="138"/>
      <c r="G19" s="139" t="str">
        <f t="shared" si="0"/>
        <v/>
      </c>
    </row>
    <row r="20" spans="1:7" ht="15.75" customHeight="1">
      <c r="A20" s="15">
        <f ca="1">IFERROR(__xludf.DUMMYFUNCTION("""COMPUTED_VALUE"""),154)</f>
        <v>154</v>
      </c>
      <c r="B20" s="17" t="str">
        <f ca="1">IFERROR(__xludf.DUMMYFUNCTION("""COMPUTED_VALUE"""),"PVD Crew")</f>
        <v>PVD Crew</v>
      </c>
      <c r="C20" s="154" t="str">
        <f ca="1">IFERROR(__xludf.DUMMYFUNCTION("""COMPUTED_VALUE"""),"")</f>
        <v/>
      </c>
      <c r="D20" s="28" t="str">
        <f ca="1">IFERROR(__xludf.DUMMYFUNCTION("""COMPUTED_VALUE"""),"Wichterlovo gymnázium, Ostrava-Poruba")</f>
        <v>Wichterlovo gymnázium, Ostrava-Poruba</v>
      </c>
      <c r="E20" s="15" t="str">
        <f ca="1">IFERROR(__xludf.DUMMYFUNCTION("""COMPUTED_VALUE"""),"ZŠ")</f>
        <v>ZŠ</v>
      </c>
      <c r="F20" s="138"/>
      <c r="G20" s="139" t="str">
        <f t="shared" si="0"/>
        <v/>
      </c>
    </row>
    <row r="21" spans="1:7" ht="15.75" customHeight="1">
      <c r="A21" s="5">
        <f ca="1">IFERROR(__xludf.DUMMYFUNCTION("""COMPUTED_VALUE"""),156)</f>
        <v>156</v>
      </c>
      <c r="B21" s="6" t="str">
        <f ca="1">IFERROR(__xludf.DUMMYFUNCTION("""COMPUTED_VALUE"""),"Shrek")</f>
        <v>Shrek</v>
      </c>
      <c r="C21" s="155" t="str">
        <f ca="1">IFERROR(__xludf.DUMMYFUNCTION("""COMPUTED_VALUE"""),"")</f>
        <v/>
      </c>
      <c r="D21" s="159" t="str">
        <f ca="1">IFERROR(__xludf.DUMMYFUNCTION("""COMPUTED_VALUE"""),"Základná škola Jakubov")</f>
        <v>Základná škola Jakubov</v>
      </c>
      <c r="E21" s="5" t="str">
        <f ca="1">IFERROR(__xludf.DUMMYFUNCTION("""COMPUTED_VALUE"""),"ZŠ")</f>
        <v>ZŠ</v>
      </c>
      <c r="F21" s="138"/>
      <c r="G21" s="139"/>
    </row>
    <row r="22" spans="1:7" ht="15.75" customHeight="1">
      <c r="E22" s="82"/>
    </row>
    <row r="23" spans="1:7" ht="15.75" customHeight="1">
      <c r="A23" s="193" t="s">
        <v>233</v>
      </c>
      <c r="B23" s="167"/>
      <c r="C23" s="167"/>
      <c r="D23" s="167"/>
      <c r="E23" s="167"/>
      <c r="F23" s="167"/>
      <c r="G23" s="168"/>
    </row>
    <row r="24" spans="1:7" ht="15.75" customHeight="1">
      <c r="A24" s="3" t="s">
        <v>13</v>
      </c>
      <c r="B24" s="3" t="s">
        <v>6</v>
      </c>
      <c r="C24" s="3" t="s">
        <v>234</v>
      </c>
      <c r="D24" s="3" t="s">
        <v>7</v>
      </c>
      <c r="E24" s="3" t="s">
        <v>235</v>
      </c>
      <c r="F24" s="3" t="s">
        <v>236</v>
      </c>
      <c r="G24" s="3" t="s">
        <v>30</v>
      </c>
    </row>
    <row r="25" spans="1:7" ht="15.75" customHeight="1">
      <c r="A25" s="5">
        <f ca="1">IFERROR(__xludf.DUMMYFUNCTION("query(Data,""select A,D,L,C,Y where Y = 'SŠ' AND AE = TRUE "")"),56)</f>
        <v>56</v>
      </c>
      <c r="B25" s="6" t="str">
        <f ca="1">IFERROR(__xludf.DUMMYFUNCTION("""COMPUTED_VALUE"""),"One man show")</f>
        <v>One man show</v>
      </c>
      <c r="C25" s="160" t="str">
        <f ca="1">IFERROR(__xludf.DUMMYFUNCTION("""COMPUTED_VALUE"""),"")</f>
        <v/>
      </c>
      <c r="D25" s="6" t="str">
        <f ca="1">IFERROR(__xludf.DUMMYFUNCTION("""COMPUTED_VALUE"""),"SŠ průmyslová a umělecká Hodonín")</f>
        <v>SŠ průmyslová a umělecká Hodonín</v>
      </c>
      <c r="E25" s="5" t="str">
        <f ca="1">IFERROR(__xludf.DUMMYFUNCTION("""COMPUTED_VALUE"""),"SŠ")</f>
        <v>SŠ</v>
      </c>
      <c r="F25" s="138"/>
      <c r="G25" s="139" t="str">
        <f t="shared" ref="G25:G28" si="1">IFERROR(RANK(F25,$F$25:$F$28,0),"")</f>
        <v/>
      </c>
    </row>
    <row r="26" spans="1:7" ht="15.75" customHeight="1">
      <c r="A26" s="15">
        <f ca="1">IFERROR(__xludf.DUMMYFUNCTION("""COMPUTED_VALUE"""),110)</f>
        <v>110</v>
      </c>
      <c r="B26" s="17" t="str">
        <f ca="1">IFERROR(__xludf.DUMMYFUNCTION("""COMPUTED_VALUE"""),"Partizáni")</f>
        <v>Partizáni</v>
      </c>
      <c r="C26" s="137" t="str">
        <f ca="1">IFERROR(__xludf.DUMMYFUNCTION("""COMPUTED_VALUE"""),"")</f>
        <v/>
      </c>
      <c r="D26" s="17" t="str">
        <f ca="1">IFERROR(__xludf.DUMMYFUNCTION("""COMPUTED_VALUE"""),"Amavet klub č.808 Partizánske")</f>
        <v>Amavet klub č.808 Partizánske</v>
      </c>
      <c r="E26" s="15" t="str">
        <f ca="1">IFERROR(__xludf.DUMMYFUNCTION("""COMPUTED_VALUE"""),"SŠ")</f>
        <v>SŠ</v>
      </c>
      <c r="F26" s="138"/>
      <c r="G26" s="139" t="str">
        <f t="shared" si="1"/>
        <v/>
      </c>
    </row>
    <row r="27" spans="1:7" ht="15.75" customHeight="1">
      <c r="A27" s="15">
        <f ca="1">IFERROR(__xludf.DUMMYFUNCTION("""COMPUTED_VALUE"""),121)</f>
        <v>121</v>
      </c>
      <c r="B27" s="17" t="str">
        <f ca="1">IFERROR(__xludf.DUMMYFUNCTION("""COMPUTED_VALUE"""),"Inženýři")</f>
        <v>Inženýři</v>
      </c>
      <c r="C27" s="162" t="str">
        <f ca="1">IFERROR(__xludf.DUMMYFUNCTION("""COMPUTED_VALUE"""),"")</f>
        <v/>
      </c>
      <c r="D27" s="28" t="str">
        <f ca="1">IFERROR(__xludf.DUMMYFUNCTION("""COMPUTED_VALUE"""),"Gymnázium Jihlava")</f>
        <v>Gymnázium Jihlava</v>
      </c>
      <c r="E27" s="15" t="str">
        <f ca="1">IFERROR(__xludf.DUMMYFUNCTION("""COMPUTED_VALUE"""),"SŠ")</f>
        <v>SŠ</v>
      </c>
      <c r="F27" s="138"/>
      <c r="G27" s="139" t="str">
        <f t="shared" si="1"/>
        <v/>
      </c>
    </row>
    <row r="28" spans="1:7" ht="15.75" customHeight="1">
      <c r="A28" s="15">
        <f ca="1">IFERROR(__xludf.DUMMYFUNCTION("""COMPUTED_VALUE"""),141)</f>
        <v>141</v>
      </c>
      <c r="B28" s="17" t="str">
        <f ca="1">IFERROR(__xludf.DUMMYFUNCTION("""COMPUTED_VALUE"""),"DELTA")</f>
        <v>DELTA</v>
      </c>
      <c r="C28" s="137" t="str">
        <f ca="1">IFERROR(__xludf.DUMMYFUNCTION("""COMPUTED_VALUE"""),"A")</f>
        <v>A</v>
      </c>
      <c r="D28" s="17" t="str">
        <f ca="1">IFERROR(__xludf.DUMMYFUNCTION("""COMPUTED_VALUE"""),"SPŠ elektrotechnická Prešov")</f>
        <v>SPŠ elektrotechnická Prešov</v>
      </c>
      <c r="E28" s="15" t="str">
        <f ca="1">IFERROR(__xludf.DUMMYFUNCTION("""COMPUTED_VALUE"""),"SŠ")</f>
        <v>SŠ</v>
      </c>
      <c r="F28" s="138"/>
      <c r="G28" s="139" t="str">
        <f t="shared" si="1"/>
        <v/>
      </c>
    </row>
    <row r="29" spans="1:7" ht="15.75" customHeight="1">
      <c r="E29" s="82"/>
    </row>
    <row r="30" spans="1:7" ht="15.75" customHeight="1">
      <c r="A30" s="194" t="s">
        <v>263</v>
      </c>
      <c r="B30" s="170"/>
      <c r="C30" s="170"/>
      <c r="D30" s="170"/>
      <c r="E30" s="170"/>
      <c r="F30" s="170"/>
      <c r="G30" s="170"/>
    </row>
    <row r="31" spans="1:7" ht="15.75" customHeight="1">
      <c r="A31" s="3" t="s">
        <v>13</v>
      </c>
      <c r="B31" s="3" t="s">
        <v>6</v>
      </c>
      <c r="C31" s="3" t="s">
        <v>234</v>
      </c>
      <c r="D31" s="3" t="s">
        <v>7</v>
      </c>
      <c r="E31" s="3"/>
      <c r="F31" s="3" t="s">
        <v>236</v>
      </c>
      <c r="G31" s="3" t="s">
        <v>30</v>
      </c>
    </row>
    <row r="32" spans="1:7" ht="27.6">
      <c r="A32" s="163">
        <f ca="1">IFERROR(__xludf.DUMMYFUNCTION("query(Data,""select A,D,L,C where AF = TRUE "")"),64)</f>
        <v>64</v>
      </c>
      <c r="B32" s="6" t="str">
        <f ca="1">IFERROR(__xludf.DUMMYFUNCTION("""COMPUTED_VALUE"""),"WeDo ZŠ Otevřeno")</f>
        <v>WeDo ZŠ Otevřeno</v>
      </c>
      <c r="C32" s="150" t="str">
        <f ca="1">IFERROR(__xludf.DUMMYFUNCTION("""COMPUTED_VALUE"""),"")</f>
        <v/>
      </c>
      <c r="D32" s="6" t="str">
        <f ca="1">IFERROR(__xludf.DUMMYFUNCTION("""COMPUTED_VALUE"""),"ZŠ Otevřeno Benátky nad Jizerou")</f>
        <v>ZŠ Otevřeno Benátky nad Jizerou</v>
      </c>
      <c r="E32" s="164"/>
      <c r="F32" s="138"/>
      <c r="G32" s="139" t="str">
        <f>IFERROR(RANK(F32,$F$32,0),"")</f>
        <v/>
      </c>
    </row>
    <row r="33" spans="5:5" ht="13.2">
      <c r="E33" s="82"/>
    </row>
    <row r="34" spans="5:5" ht="13.2">
      <c r="E34" s="82"/>
    </row>
    <row r="35" spans="5:5" ht="13.2">
      <c r="E35" s="82"/>
    </row>
    <row r="36" spans="5:5" ht="13.2">
      <c r="E36" s="82"/>
    </row>
    <row r="37" spans="5:5" ht="13.2">
      <c r="E37" s="82"/>
    </row>
    <row r="38" spans="5:5" ht="13.2">
      <c r="E38" s="82"/>
    </row>
    <row r="39" spans="5:5" ht="13.2">
      <c r="E39" s="82"/>
    </row>
    <row r="40" spans="5:5" ht="13.2">
      <c r="E40" s="82"/>
    </row>
    <row r="41" spans="5:5" ht="13.2">
      <c r="E41" s="82"/>
    </row>
    <row r="42" spans="5:5" ht="13.2">
      <c r="E42" s="82"/>
    </row>
    <row r="43" spans="5:5" ht="13.2">
      <c r="E43" s="82"/>
    </row>
    <row r="44" spans="5:5" ht="13.2">
      <c r="E44" s="82"/>
    </row>
    <row r="45" spans="5:5" ht="13.2">
      <c r="E45" s="82"/>
    </row>
    <row r="46" spans="5:5" ht="13.2">
      <c r="E46" s="82"/>
    </row>
    <row r="47" spans="5:5" ht="13.2">
      <c r="E47" s="82"/>
    </row>
    <row r="48" spans="5:5" ht="13.2">
      <c r="E48" s="82"/>
    </row>
    <row r="49" spans="5:5" ht="13.2">
      <c r="E49" s="82"/>
    </row>
    <row r="50" spans="5:5" ht="13.2">
      <c r="E50" s="82"/>
    </row>
    <row r="51" spans="5:5" ht="13.2">
      <c r="E51" s="82"/>
    </row>
    <row r="52" spans="5:5" ht="13.2">
      <c r="E52" s="82"/>
    </row>
    <row r="53" spans="5:5" ht="13.2">
      <c r="E53" s="82"/>
    </row>
    <row r="54" spans="5:5" ht="13.2">
      <c r="E54" s="82"/>
    </row>
    <row r="55" spans="5:5" ht="13.2">
      <c r="E55" s="82"/>
    </row>
    <row r="56" spans="5:5" ht="13.2">
      <c r="E56" s="82"/>
    </row>
    <row r="57" spans="5:5" ht="13.2">
      <c r="E57" s="82"/>
    </row>
    <row r="58" spans="5:5" ht="13.2">
      <c r="E58" s="82"/>
    </row>
    <row r="59" spans="5:5" ht="13.2">
      <c r="E59" s="82"/>
    </row>
    <row r="60" spans="5:5" ht="13.2">
      <c r="E60" s="82"/>
    </row>
    <row r="61" spans="5:5" ht="13.2">
      <c r="E61" s="82"/>
    </row>
    <row r="62" spans="5:5" ht="13.2">
      <c r="E62" s="82"/>
    </row>
    <row r="63" spans="5:5" ht="13.2">
      <c r="E63" s="82"/>
    </row>
    <row r="64" spans="5:5" ht="13.2">
      <c r="E64" s="82"/>
    </row>
    <row r="65" spans="5:5" ht="13.2">
      <c r="E65" s="82"/>
    </row>
    <row r="66" spans="5:5" ht="13.2">
      <c r="E66" s="82"/>
    </row>
    <row r="67" spans="5:5" ht="13.2">
      <c r="E67" s="82"/>
    </row>
    <row r="68" spans="5:5" ht="13.2">
      <c r="E68" s="82"/>
    </row>
    <row r="69" spans="5:5" ht="13.2">
      <c r="E69" s="82"/>
    </row>
    <row r="70" spans="5:5" ht="13.2">
      <c r="E70" s="82"/>
    </row>
    <row r="71" spans="5:5" ht="13.2">
      <c r="E71" s="82"/>
    </row>
    <row r="72" spans="5:5" ht="13.2">
      <c r="E72" s="82"/>
    </row>
    <row r="73" spans="5:5" ht="13.2">
      <c r="E73" s="82"/>
    </row>
    <row r="74" spans="5:5" ht="13.2">
      <c r="E74" s="82"/>
    </row>
    <row r="75" spans="5:5" ht="13.2">
      <c r="E75" s="82"/>
    </row>
    <row r="76" spans="5:5" ht="13.2">
      <c r="E76" s="82"/>
    </row>
    <row r="77" spans="5:5" ht="13.2">
      <c r="E77" s="82"/>
    </row>
    <row r="78" spans="5:5" ht="13.2">
      <c r="E78" s="82"/>
    </row>
    <row r="79" spans="5:5" ht="13.2">
      <c r="E79" s="82"/>
    </row>
    <row r="80" spans="5:5" ht="13.2">
      <c r="E80" s="82"/>
    </row>
    <row r="81" spans="5:5" ht="13.2">
      <c r="E81" s="82"/>
    </row>
    <row r="82" spans="5:5" ht="13.2">
      <c r="E82" s="82"/>
    </row>
    <row r="83" spans="5:5" ht="13.2">
      <c r="E83" s="82"/>
    </row>
    <row r="84" spans="5:5" ht="13.2">
      <c r="E84" s="82"/>
    </row>
    <row r="85" spans="5:5" ht="13.2">
      <c r="E85" s="82"/>
    </row>
    <row r="86" spans="5:5" ht="13.2">
      <c r="E86" s="82"/>
    </row>
    <row r="87" spans="5:5" ht="13.2">
      <c r="E87" s="82"/>
    </row>
    <row r="88" spans="5:5" ht="13.2">
      <c r="E88" s="82"/>
    </row>
    <row r="89" spans="5:5" ht="13.2">
      <c r="E89" s="82"/>
    </row>
    <row r="90" spans="5:5" ht="13.2">
      <c r="E90" s="82"/>
    </row>
    <row r="91" spans="5:5" ht="13.2">
      <c r="E91" s="82"/>
    </row>
    <row r="92" spans="5:5" ht="13.2">
      <c r="E92" s="82"/>
    </row>
    <row r="93" spans="5:5" ht="13.2">
      <c r="E93" s="82"/>
    </row>
    <row r="94" spans="5:5" ht="13.2">
      <c r="E94" s="82"/>
    </row>
    <row r="95" spans="5:5" ht="13.2">
      <c r="E95" s="82"/>
    </row>
    <row r="96" spans="5:5" ht="13.2">
      <c r="E96" s="82"/>
    </row>
    <row r="97" spans="5:5" ht="13.2">
      <c r="E97" s="82"/>
    </row>
    <row r="98" spans="5:5" ht="13.2">
      <c r="E98" s="82"/>
    </row>
    <row r="99" spans="5:5" ht="13.2">
      <c r="E99" s="82"/>
    </row>
    <row r="100" spans="5:5" ht="13.2">
      <c r="E100" s="82"/>
    </row>
    <row r="101" spans="5:5" ht="13.2">
      <c r="E101" s="82"/>
    </row>
    <row r="102" spans="5:5" ht="13.2">
      <c r="E102" s="82"/>
    </row>
    <row r="103" spans="5:5" ht="13.2">
      <c r="E103" s="82"/>
    </row>
    <row r="104" spans="5:5" ht="13.2">
      <c r="E104" s="82"/>
    </row>
    <row r="105" spans="5:5" ht="13.2">
      <c r="E105" s="82"/>
    </row>
    <row r="106" spans="5:5" ht="13.2">
      <c r="E106" s="82"/>
    </row>
    <row r="107" spans="5:5" ht="13.2">
      <c r="E107" s="82"/>
    </row>
    <row r="108" spans="5:5" ht="13.2">
      <c r="E108" s="82"/>
    </row>
    <row r="109" spans="5:5" ht="13.2">
      <c r="E109" s="82"/>
    </row>
    <row r="110" spans="5:5" ht="13.2">
      <c r="E110" s="82"/>
    </row>
    <row r="111" spans="5:5" ht="13.2">
      <c r="E111" s="82"/>
    </row>
    <row r="112" spans="5:5" ht="13.2">
      <c r="E112" s="82"/>
    </row>
    <row r="113" spans="5:5" ht="13.2">
      <c r="E113" s="82"/>
    </row>
    <row r="114" spans="5:5" ht="13.2">
      <c r="E114" s="82"/>
    </row>
    <row r="115" spans="5:5" ht="13.2">
      <c r="E115" s="82"/>
    </row>
    <row r="116" spans="5:5" ht="13.2">
      <c r="E116" s="82"/>
    </row>
    <row r="117" spans="5:5" ht="13.2">
      <c r="E117" s="82"/>
    </row>
    <row r="118" spans="5:5" ht="13.2">
      <c r="E118" s="82"/>
    </row>
    <row r="119" spans="5:5" ht="13.2">
      <c r="E119" s="82"/>
    </row>
    <row r="120" spans="5:5" ht="13.2">
      <c r="E120" s="82"/>
    </row>
    <row r="121" spans="5:5" ht="13.2">
      <c r="E121" s="82"/>
    </row>
    <row r="122" spans="5:5" ht="13.2">
      <c r="E122" s="82"/>
    </row>
    <row r="123" spans="5:5" ht="13.2">
      <c r="E123" s="82"/>
    </row>
    <row r="124" spans="5:5" ht="13.2">
      <c r="E124" s="82"/>
    </row>
    <row r="125" spans="5:5" ht="13.2">
      <c r="E125" s="82"/>
    </row>
    <row r="126" spans="5:5" ht="13.2">
      <c r="E126" s="82"/>
    </row>
    <row r="127" spans="5:5" ht="13.2">
      <c r="E127" s="82"/>
    </row>
    <row r="128" spans="5:5" ht="13.2">
      <c r="E128" s="82"/>
    </row>
    <row r="129" spans="5:5" ht="13.2">
      <c r="E129" s="82"/>
    </row>
    <row r="130" spans="5:5" ht="13.2">
      <c r="E130" s="82"/>
    </row>
    <row r="131" spans="5:5" ht="13.2">
      <c r="E131" s="82"/>
    </row>
    <row r="132" spans="5:5" ht="13.2">
      <c r="E132" s="82"/>
    </row>
    <row r="133" spans="5:5" ht="13.2">
      <c r="E133" s="82"/>
    </row>
    <row r="134" spans="5:5" ht="13.2">
      <c r="E134" s="82"/>
    </row>
    <row r="135" spans="5:5" ht="13.2">
      <c r="E135" s="82"/>
    </row>
    <row r="136" spans="5:5" ht="13.2">
      <c r="E136" s="82"/>
    </row>
    <row r="137" spans="5:5" ht="13.2">
      <c r="E137" s="82"/>
    </row>
    <row r="138" spans="5:5" ht="13.2">
      <c r="E138" s="82"/>
    </row>
    <row r="139" spans="5:5" ht="13.2">
      <c r="E139" s="82"/>
    </row>
    <row r="140" spans="5:5" ht="13.2">
      <c r="E140" s="82"/>
    </row>
    <row r="141" spans="5:5" ht="13.2">
      <c r="E141" s="82"/>
    </row>
    <row r="142" spans="5:5" ht="13.2">
      <c r="E142" s="82"/>
    </row>
    <row r="143" spans="5:5" ht="13.2">
      <c r="E143" s="82"/>
    </row>
    <row r="144" spans="5:5" ht="13.2">
      <c r="E144" s="82"/>
    </row>
    <row r="145" spans="5:5" ht="13.2">
      <c r="E145" s="82"/>
    </row>
    <row r="146" spans="5:5" ht="13.2">
      <c r="E146" s="82"/>
    </row>
    <row r="147" spans="5:5" ht="13.2">
      <c r="E147" s="82"/>
    </row>
    <row r="148" spans="5:5" ht="13.2">
      <c r="E148" s="82"/>
    </row>
    <row r="149" spans="5:5" ht="13.2">
      <c r="E149" s="82"/>
    </row>
    <row r="150" spans="5:5" ht="13.2">
      <c r="E150" s="82"/>
    </row>
    <row r="151" spans="5:5" ht="13.2">
      <c r="E151" s="82"/>
    </row>
    <row r="152" spans="5:5" ht="13.2">
      <c r="E152" s="82"/>
    </row>
    <row r="153" spans="5:5" ht="13.2">
      <c r="E153" s="82"/>
    </row>
    <row r="154" spans="5:5" ht="13.2">
      <c r="E154" s="82"/>
    </row>
    <row r="155" spans="5:5" ht="13.2">
      <c r="E155" s="82"/>
    </row>
    <row r="156" spans="5:5" ht="13.2">
      <c r="E156" s="82"/>
    </row>
    <row r="157" spans="5:5" ht="13.2">
      <c r="E157" s="82"/>
    </row>
    <row r="158" spans="5:5" ht="13.2">
      <c r="E158" s="82"/>
    </row>
    <row r="159" spans="5:5" ht="13.2">
      <c r="E159" s="82"/>
    </row>
    <row r="160" spans="5:5" ht="13.2">
      <c r="E160" s="82"/>
    </row>
    <row r="161" spans="5:5" ht="13.2">
      <c r="E161" s="82"/>
    </row>
    <row r="162" spans="5:5" ht="13.2">
      <c r="E162" s="82"/>
    </row>
    <row r="163" spans="5:5" ht="13.2">
      <c r="E163" s="82"/>
    </row>
    <row r="164" spans="5:5" ht="13.2">
      <c r="E164" s="82"/>
    </row>
    <row r="165" spans="5:5" ht="13.2">
      <c r="E165" s="82"/>
    </row>
    <row r="166" spans="5:5" ht="13.2">
      <c r="E166" s="82"/>
    </row>
    <row r="167" spans="5:5" ht="13.2">
      <c r="E167" s="82"/>
    </row>
    <row r="168" spans="5:5" ht="13.2">
      <c r="E168" s="82"/>
    </row>
    <row r="169" spans="5:5" ht="13.2">
      <c r="E169" s="82"/>
    </row>
    <row r="170" spans="5:5" ht="13.2">
      <c r="E170" s="82"/>
    </row>
    <row r="171" spans="5:5" ht="13.2">
      <c r="E171" s="82"/>
    </row>
    <row r="172" spans="5:5" ht="13.2">
      <c r="E172" s="82"/>
    </row>
    <row r="173" spans="5:5" ht="13.2">
      <c r="E173" s="82"/>
    </row>
    <row r="174" spans="5:5" ht="13.2">
      <c r="E174" s="82"/>
    </row>
    <row r="175" spans="5:5" ht="13.2">
      <c r="E175" s="82"/>
    </row>
    <row r="176" spans="5:5" ht="13.2">
      <c r="E176" s="82"/>
    </row>
    <row r="177" spans="5:5" ht="13.2">
      <c r="E177" s="82"/>
    </row>
    <row r="178" spans="5:5" ht="13.2">
      <c r="E178" s="82"/>
    </row>
    <row r="179" spans="5:5" ht="13.2">
      <c r="E179" s="82"/>
    </row>
    <row r="180" spans="5:5" ht="13.2">
      <c r="E180" s="82"/>
    </row>
    <row r="181" spans="5:5" ht="13.2">
      <c r="E181" s="82"/>
    </row>
    <row r="182" spans="5:5" ht="13.2">
      <c r="E182" s="82"/>
    </row>
    <row r="183" spans="5:5" ht="13.2">
      <c r="E183" s="82"/>
    </row>
    <row r="184" spans="5:5" ht="13.2">
      <c r="E184" s="82"/>
    </row>
    <row r="185" spans="5:5" ht="13.2">
      <c r="E185" s="82"/>
    </row>
    <row r="186" spans="5:5" ht="13.2">
      <c r="E186" s="82"/>
    </row>
    <row r="187" spans="5:5" ht="13.2">
      <c r="E187" s="82"/>
    </row>
    <row r="188" spans="5:5" ht="13.2">
      <c r="E188" s="82"/>
    </row>
    <row r="189" spans="5:5" ht="13.2">
      <c r="E189" s="82"/>
    </row>
    <row r="190" spans="5:5" ht="13.2">
      <c r="E190" s="82"/>
    </row>
    <row r="191" spans="5:5" ht="13.2">
      <c r="E191" s="82"/>
    </row>
    <row r="192" spans="5:5" ht="13.2">
      <c r="E192" s="82"/>
    </row>
    <row r="193" spans="5:5" ht="13.2">
      <c r="E193" s="82"/>
    </row>
    <row r="194" spans="5:5" ht="13.2">
      <c r="E194" s="82"/>
    </row>
    <row r="195" spans="5:5" ht="13.2">
      <c r="E195" s="82"/>
    </row>
    <row r="196" spans="5:5" ht="13.2">
      <c r="E196" s="82"/>
    </row>
    <row r="197" spans="5:5" ht="13.2">
      <c r="E197" s="82"/>
    </row>
    <row r="198" spans="5:5" ht="13.2">
      <c r="E198" s="82"/>
    </row>
    <row r="199" spans="5:5" ht="13.2">
      <c r="E199" s="82"/>
    </row>
    <row r="200" spans="5:5" ht="13.2">
      <c r="E200" s="82"/>
    </row>
    <row r="201" spans="5:5" ht="13.2">
      <c r="E201" s="82"/>
    </row>
    <row r="202" spans="5:5" ht="13.2">
      <c r="E202" s="82"/>
    </row>
    <row r="203" spans="5:5" ht="13.2">
      <c r="E203" s="82"/>
    </row>
    <row r="204" spans="5:5" ht="13.2">
      <c r="E204" s="82"/>
    </row>
    <row r="205" spans="5:5" ht="13.2">
      <c r="E205" s="82"/>
    </row>
    <row r="206" spans="5:5" ht="13.2">
      <c r="E206" s="82"/>
    </row>
    <row r="207" spans="5:5" ht="13.2">
      <c r="E207" s="82"/>
    </row>
    <row r="208" spans="5:5" ht="13.2">
      <c r="E208" s="82"/>
    </row>
    <row r="209" spans="5:5" ht="13.2">
      <c r="E209" s="82"/>
    </row>
    <row r="210" spans="5:5" ht="13.2">
      <c r="E210" s="82"/>
    </row>
    <row r="211" spans="5:5" ht="13.2">
      <c r="E211" s="82"/>
    </row>
    <row r="212" spans="5:5" ht="13.2">
      <c r="E212" s="82"/>
    </row>
    <row r="213" spans="5:5" ht="13.2">
      <c r="E213" s="82"/>
    </row>
    <row r="214" spans="5:5" ht="13.2">
      <c r="E214" s="82"/>
    </row>
    <row r="215" spans="5:5" ht="13.2">
      <c r="E215" s="82"/>
    </row>
    <row r="216" spans="5:5" ht="13.2">
      <c r="E216" s="82"/>
    </row>
    <row r="217" spans="5:5" ht="13.2">
      <c r="E217" s="82"/>
    </row>
    <row r="218" spans="5:5" ht="13.2">
      <c r="E218" s="82"/>
    </row>
    <row r="219" spans="5:5" ht="13.2">
      <c r="E219" s="82"/>
    </row>
    <row r="220" spans="5:5" ht="13.2">
      <c r="E220" s="82"/>
    </row>
    <row r="221" spans="5:5" ht="13.2">
      <c r="E221" s="82"/>
    </row>
    <row r="222" spans="5:5" ht="13.2">
      <c r="E222" s="82"/>
    </row>
    <row r="223" spans="5:5" ht="13.2">
      <c r="E223" s="82"/>
    </row>
    <row r="224" spans="5:5" ht="13.2">
      <c r="E224" s="82"/>
    </row>
    <row r="225" spans="5:5" ht="13.2">
      <c r="E225" s="82"/>
    </row>
    <row r="226" spans="5:5" ht="13.2">
      <c r="E226" s="82"/>
    </row>
    <row r="227" spans="5:5" ht="13.2">
      <c r="E227" s="82"/>
    </row>
    <row r="228" spans="5:5" ht="13.2">
      <c r="E228" s="82"/>
    </row>
    <row r="229" spans="5:5" ht="13.2">
      <c r="E229" s="82"/>
    </row>
    <row r="230" spans="5:5" ht="13.2">
      <c r="E230" s="82"/>
    </row>
    <row r="231" spans="5:5" ht="13.2">
      <c r="E231" s="82"/>
    </row>
    <row r="232" spans="5:5" ht="13.2">
      <c r="E232" s="82"/>
    </row>
    <row r="233" spans="5:5" ht="13.2">
      <c r="E233" s="82"/>
    </row>
    <row r="234" spans="5:5" ht="13.2">
      <c r="E234" s="82"/>
    </row>
    <row r="235" spans="5:5" ht="13.2">
      <c r="E235" s="82"/>
    </row>
    <row r="236" spans="5:5" ht="13.2">
      <c r="E236" s="82"/>
    </row>
    <row r="237" spans="5:5" ht="13.2">
      <c r="E237" s="82"/>
    </row>
    <row r="238" spans="5:5" ht="13.2">
      <c r="E238" s="82"/>
    </row>
    <row r="239" spans="5:5" ht="13.2">
      <c r="E239" s="82"/>
    </row>
    <row r="240" spans="5:5" ht="13.2">
      <c r="E240" s="82"/>
    </row>
    <row r="241" spans="5:5" ht="13.2">
      <c r="E241" s="82"/>
    </row>
    <row r="242" spans="5:5" ht="13.2">
      <c r="E242" s="82"/>
    </row>
    <row r="243" spans="5:5" ht="13.2">
      <c r="E243" s="82"/>
    </row>
    <row r="244" spans="5:5" ht="13.2">
      <c r="E244" s="82"/>
    </row>
    <row r="245" spans="5:5" ht="13.2">
      <c r="E245" s="82"/>
    </row>
    <row r="246" spans="5:5" ht="13.2">
      <c r="E246" s="82"/>
    </row>
    <row r="247" spans="5:5" ht="13.2">
      <c r="E247" s="82"/>
    </row>
    <row r="248" spans="5:5" ht="13.2">
      <c r="E248" s="82"/>
    </row>
    <row r="249" spans="5:5" ht="13.2">
      <c r="E249" s="82"/>
    </row>
    <row r="250" spans="5:5" ht="13.2">
      <c r="E250" s="82"/>
    </row>
    <row r="251" spans="5:5" ht="13.2">
      <c r="E251" s="82"/>
    </row>
    <row r="252" spans="5:5" ht="13.2">
      <c r="E252" s="82"/>
    </row>
    <row r="253" spans="5:5" ht="13.2">
      <c r="E253" s="82"/>
    </row>
    <row r="254" spans="5:5" ht="13.2">
      <c r="E254" s="82"/>
    </row>
    <row r="255" spans="5:5" ht="13.2">
      <c r="E255" s="82"/>
    </row>
    <row r="256" spans="5:5" ht="13.2">
      <c r="E256" s="82"/>
    </row>
    <row r="257" spans="5:5" ht="13.2">
      <c r="E257" s="82"/>
    </row>
    <row r="258" spans="5:5" ht="13.2">
      <c r="E258" s="82"/>
    </row>
    <row r="259" spans="5:5" ht="13.2">
      <c r="E259" s="82"/>
    </row>
    <row r="260" spans="5:5" ht="13.2">
      <c r="E260" s="82"/>
    </row>
    <row r="261" spans="5:5" ht="13.2">
      <c r="E261" s="82"/>
    </row>
    <row r="262" spans="5:5" ht="13.2">
      <c r="E262" s="82"/>
    </row>
    <row r="263" spans="5:5" ht="13.2">
      <c r="E263" s="82"/>
    </row>
    <row r="264" spans="5:5" ht="13.2">
      <c r="E264" s="82"/>
    </row>
    <row r="265" spans="5:5" ht="13.2">
      <c r="E265" s="82"/>
    </row>
    <row r="266" spans="5:5" ht="13.2">
      <c r="E266" s="82"/>
    </row>
    <row r="267" spans="5:5" ht="13.2">
      <c r="E267" s="82"/>
    </row>
    <row r="268" spans="5:5" ht="13.2">
      <c r="E268" s="82"/>
    </row>
    <row r="269" spans="5:5" ht="13.2">
      <c r="E269" s="82"/>
    </row>
    <row r="270" spans="5:5" ht="13.2">
      <c r="E270" s="82"/>
    </row>
    <row r="271" spans="5:5" ht="13.2">
      <c r="E271" s="82"/>
    </row>
    <row r="272" spans="5:5" ht="13.2">
      <c r="E272" s="82"/>
    </row>
    <row r="273" spans="5:5" ht="13.2">
      <c r="E273" s="82"/>
    </row>
    <row r="274" spans="5:5" ht="13.2">
      <c r="E274" s="82"/>
    </row>
    <row r="275" spans="5:5" ht="13.2">
      <c r="E275" s="82"/>
    </row>
    <row r="276" spans="5:5" ht="13.2">
      <c r="E276" s="82"/>
    </row>
    <row r="277" spans="5:5" ht="13.2">
      <c r="E277" s="82"/>
    </row>
    <row r="278" spans="5:5" ht="13.2">
      <c r="E278" s="82"/>
    </row>
    <row r="279" spans="5:5" ht="13.2">
      <c r="E279" s="82"/>
    </row>
    <row r="280" spans="5:5" ht="13.2">
      <c r="E280" s="82"/>
    </row>
    <row r="281" spans="5:5" ht="13.2">
      <c r="E281" s="82"/>
    </row>
    <row r="282" spans="5:5" ht="13.2">
      <c r="E282" s="82"/>
    </row>
    <row r="283" spans="5:5" ht="13.2">
      <c r="E283" s="82"/>
    </row>
    <row r="284" spans="5:5" ht="13.2">
      <c r="E284" s="82"/>
    </row>
    <row r="285" spans="5:5" ht="13.2">
      <c r="E285" s="82"/>
    </row>
    <row r="286" spans="5:5" ht="13.2">
      <c r="E286" s="82"/>
    </row>
    <row r="287" spans="5:5" ht="13.2">
      <c r="E287" s="82"/>
    </row>
    <row r="288" spans="5:5" ht="13.2">
      <c r="E288" s="82"/>
    </row>
    <row r="289" spans="5:5" ht="13.2">
      <c r="E289" s="82"/>
    </row>
    <row r="290" spans="5:5" ht="13.2">
      <c r="E290" s="82"/>
    </row>
    <row r="291" spans="5:5" ht="13.2">
      <c r="E291" s="82"/>
    </row>
    <row r="292" spans="5:5" ht="13.2">
      <c r="E292" s="82"/>
    </row>
    <row r="293" spans="5:5" ht="13.2">
      <c r="E293" s="82"/>
    </row>
    <row r="294" spans="5:5" ht="13.2">
      <c r="E294" s="82"/>
    </row>
    <row r="295" spans="5:5" ht="13.2">
      <c r="E295" s="82"/>
    </row>
    <row r="296" spans="5:5" ht="13.2">
      <c r="E296" s="82"/>
    </row>
    <row r="297" spans="5:5" ht="13.2">
      <c r="E297" s="82"/>
    </row>
    <row r="298" spans="5:5" ht="13.2">
      <c r="E298" s="82"/>
    </row>
    <row r="299" spans="5:5" ht="13.2">
      <c r="E299" s="82"/>
    </row>
    <row r="300" spans="5:5" ht="13.2">
      <c r="E300" s="82"/>
    </row>
    <row r="301" spans="5:5" ht="13.2">
      <c r="E301" s="82"/>
    </row>
    <row r="302" spans="5:5" ht="13.2">
      <c r="E302" s="82"/>
    </row>
    <row r="303" spans="5:5" ht="13.2">
      <c r="E303" s="82"/>
    </row>
    <row r="304" spans="5:5" ht="13.2">
      <c r="E304" s="82"/>
    </row>
    <row r="305" spans="5:5" ht="13.2">
      <c r="E305" s="82"/>
    </row>
    <row r="306" spans="5:5" ht="13.2">
      <c r="E306" s="82"/>
    </row>
    <row r="307" spans="5:5" ht="13.2">
      <c r="E307" s="82"/>
    </row>
    <row r="308" spans="5:5" ht="13.2">
      <c r="E308" s="82"/>
    </row>
    <row r="309" spans="5:5" ht="13.2">
      <c r="E309" s="82"/>
    </row>
    <row r="310" spans="5:5" ht="13.2">
      <c r="E310" s="82"/>
    </row>
    <row r="311" spans="5:5" ht="13.2">
      <c r="E311" s="82"/>
    </row>
    <row r="312" spans="5:5" ht="13.2">
      <c r="E312" s="82"/>
    </row>
    <row r="313" spans="5:5" ht="13.2">
      <c r="E313" s="82"/>
    </row>
    <row r="314" spans="5:5" ht="13.2">
      <c r="E314" s="82"/>
    </row>
    <row r="315" spans="5:5" ht="13.2">
      <c r="E315" s="82"/>
    </row>
    <row r="316" spans="5:5" ht="13.2">
      <c r="E316" s="82"/>
    </row>
    <row r="317" spans="5:5" ht="13.2">
      <c r="E317" s="82"/>
    </row>
    <row r="318" spans="5:5" ht="13.2">
      <c r="E318" s="82"/>
    </row>
    <row r="319" spans="5:5" ht="13.2">
      <c r="E319" s="82"/>
    </row>
    <row r="320" spans="5:5" ht="13.2">
      <c r="E320" s="82"/>
    </row>
    <row r="321" spans="5:5" ht="13.2">
      <c r="E321" s="82"/>
    </row>
    <row r="322" spans="5:5" ht="13.2">
      <c r="E322" s="82"/>
    </row>
    <row r="323" spans="5:5" ht="13.2">
      <c r="E323" s="82"/>
    </row>
    <row r="324" spans="5:5" ht="13.2">
      <c r="E324" s="82"/>
    </row>
    <row r="325" spans="5:5" ht="13.2">
      <c r="E325" s="82"/>
    </row>
    <row r="326" spans="5:5" ht="13.2">
      <c r="E326" s="82"/>
    </row>
    <row r="327" spans="5:5" ht="13.2">
      <c r="E327" s="82"/>
    </row>
    <row r="328" spans="5:5" ht="13.2">
      <c r="E328" s="82"/>
    </row>
    <row r="329" spans="5:5" ht="13.2">
      <c r="E329" s="82"/>
    </row>
    <row r="330" spans="5:5" ht="13.2">
      <c r="E330" s="82"/>
    </row>
    <row r="331" spans="5:5" ht="13.2">
      <c r="E331" s="82"/>
    </row>
    <row r="332" spans="5:5" ht="13.2">
      <c r="E332" s="82"/>
    </row>
    <row r="333" spans="5:5" ht="13.2">
      <c r="E333" s="82"/>
    </row>
    <row r="334" spans="5:5" ht="13.2">
      <c r="E334" s="82"/>
    </row>
    <row r="335" spans="5:5" ht="13.2">
      <c r="E335" s="82"/>
    </row>
    <row r="336" spans="5:5" ht="13.2">
      <c r="E336" s="82"/>
    </row>
    <row r="337" spans="5:5" ht="13.2">
      <c r="E337" s="82"/>
    </row>
    <row r="338" spans="5:5" ht="13.2">
      <c r="E338" s="82"/>
    </row>
    <row r="339" spans="5:5" ht="13.2">
      <c r="E339" s="82"/>
    </row>
    <row r="340" spans="5:5" ht="13.2">
      <c r="E340" s="82"/>
    </row>
    <row r="341" spans="5:5" ht="13.2">
      <c r="E341" s="82"/>
    </row>
    <row r="342" spans="5:5" ht="13.2">
      <c r="E342" s="82"/>
    </row>
    <row r="343" spans="5:5" ht="13.2">
      <c r="E343" s="82"/>
    </row>
    <row r="344" spans="5:5" ht="13.2">
      <c r="E344" s="82"/>
    </row>
    <row r="345" spans="5:5" ht="13.2">
      <c r="E345" s="82"/>
    </row>
    <row r="346" spans="5:5" ht="13.2">
      <c r="E346" s="82"/>
    </row>
    <row r="347" spans="5:5" ht="13.2">
      <c r="E347" s="82"/>
    </row>
    <row r="348" spans="5:5" ht="13.2">
      <c r="E348" s="82"/>
    </row>
    <row r="349" spans="5:5" ht="13.2">
      <c r="E349" s="82"/>
    </row>
    <row r="350" spans="5:5" ht="13.2">
      <c r="E350" s="82"/>
    </row>
    <row r="351" spans="5:5" ht="13.2">
      <c r="E351" s="82"/>
    </row>
    <row r="352" spans="5:5" ht="13.2">
      <c r="E352" s="82"/>
    </row>
    <row r="353" spans="5:5" ht="13.2">
      <c r="E353" s="82"/>
    </row>
    <row r="354" spans="5:5" ht="13.2">
      <c r="E354" s="82"/>
    </row>
    <row r="355" spans="5:5" ht="13.2">
      <c r="E355" s="82"/>
    </row>
    <row r="356" spans="5:5" ht="13.2">
      <c r="E356" s="82"/>
    </row>
    <row r="357" spans="5:5" ht="13.2">
      <c r="E357" s="82"/>
    </row>
    <row r="358" spans="5:5" ht="13.2">
      <c r="E358" s="82"/>
    </row>
    <row r="359" spans="5:5" ht="13.2">
      <c r="E359" s="82"/>
    </row>
    <row r="360" spans="5:5" ht="13.2">
      <c r="E360" s="82"/>
    </row>
    <row r="361" spans="5:5" ht="13.2">
      <c r="E361" s="82"/>
    </row>
    <row r="362" spans="5:5" ht="13.2">
      <c r="E362" s="82"/>
    </row>
    <row r="363" spans="5:5" ht="13.2">
      <c r="E363" s="82"/>
    </row>
    <row r="364" spans="5:5" ht="13.2">
      <c r="E364" s="82"/>
    </row>
    <row r="365" spans="5:5" ht="13.2">
      <c r="E365" s="82"/>
    </row>
    <row r="366" spans="5:5" ht="13.2">
      <c r="E366" s="82"/>
    </row>
    <row r="367" spans="5:5" ht="13.2">
      <c r="E367" s="82"/>
    </row>
    <row r="368" spans="5:5" ht="13.2">
      <c r="E368" s="82"/>
    </row>
    <row r="369" spans="5:5" ht="13.2">
      <c r="E369" s="82"/>
    </row>
    <row r="370" spans="5:5" ht="13.2">
      <c r="E370" s="82"/>
    </row>
    <row r="371" spans="5:5" ht="13.2">
      <c r="E371" s="82"/>
    </row>
    <row r="372" spans="5:5" ht="13.2">
      <c r="E372" s="82"/>
    </row>
    <row r="373" spans="5:5" ht="13.2">
      <c r="E373" s="82"/>
    </row>
    <row r="374" spans="5:5" ht="13.2">
      <c r="E374" s="82"/>
    </row>
    <row r="375" spans="5:5" ht="13.2">
      <c r="E375" s="82"/>
    </row>
    <row r="376" spans="5:5" ht="13.2">
      <c r="E376" s="82"/>
    </row>
    <row r="377" spans="5:5" ht="13.2">
      <c r="E377" s="82"/>
    </row>
    <row r="378" spans="5:5" ht="13.2">
      <c r="E378" s="82"/>
    </row>
    <row r="379" spans="5:5" ht="13.2">
      <c r="E379" s="82"/>
    </row>
    <row r="380" spans="5:5" ht="13.2">
      <c r="E380" s="82"/>
    </row>
    <row r="381" spans="5:5" ht="13.2">
      <c r="E381" s="82"/>
    </row>
    <row r="382" spans="5:5" ht="13.2">
      <c r="E382" s="82"/>
    </row>
    <row r="383" spans="5:5" ht="13.2">
      <c r="E383" s="82"/>
    </row>
    <row r="384" spans="5:5" ht="13.2">
      <c r="E384" s="82"/>
    </row>
    <row r="385" spans="5:5" ht="13.2">
      <c r="E385" s="82"/>
    </row>
    <row r="386" spans="5:5" ht="13.2">
      <c r="E386" s="82"/>
    </row>
    <row r="387" spans="5:5" ht="13.2">
      <c r="E387" s="82"/>
    </row>
    <row r="388" spans="5:5" ht="13.2">
      <c r="E388" s="82"/>
    </row>
    <row r="389" spans="5:5" ht="13.2">
      <c r="E389" s="82"/>
    </row>
    <row r="390" spans="5:5" ht="13.2">
      <c r="E390" s="82"/>
    </row>
    <row r="391" spans="5:5" ht="13.2">
      <c r="E391" s="82"/>
    </row>
    <row r="392" spans="5:5" ht="13.2">
      <c r="E392" s="82"/>
    </row>
    <row r="393" spans="5:5" ht="13.2">
      <c r="E393" s="82"/>
    </row>
    <row r="394" spans="5:5" ht="13.2">
      <c r="E394" s="82"/>
    </row>
    <row r="395" spans="5:5" ht="13.2">
      <c r="E395" s="82"/>
    </row>
    <row r="396" spans="5:5" ht="13.2">
      <c r="E396" s="82"/>
    </row>
    <row r="397" spans="5:5" ht="13.2">
      <c r="E397" s="82"/>
    </row>
    <row r="398" spans="5:5" ht="13.2">
      <c r="E398" s="82"/>
    </row>
    <row r="399" spans="5:5" ht="13.2">
      <c r="E399" s="82"/>
    </row>
    <row r="400" spans="5:5" ht="13.2">
      <c r="E400" s="82"/>
    </row>
    <row r="401" spans="5:5" ht="13.2">
      <c r="E401" s="82"/>
    </row>
    <row r="402" spans="5:5" ht="13.2">
      <c r="E402" s="82"/>
    </row>
    <row r="403" spans="5:5" ht="13.2">
      <c r="E403" s="82"/>
    </row>
    <row r="404" spans="5:5" ht="13.2">
      <c r="E404" s="82"/>
    </row>
    <row r="405" spans="5:5" ht="13.2">
      <c r="E405" s="82"/>
    </row>
    <row r="406" spans="5:5" ht="13.2">
      <c r="E406" s="82"/>
    </row>
    <row r="407" spans="5:5" ht="13.2">
      <c r="E407" s="82"/>
    </row>
    <row r="408" spans="5:5" ht="13.2">
      <c r="E408" s="82"/>
    </row>
    <row r="409" spans="5:5" ht="13.2">
      <c r="E409" s="82"/>
    </row>
    <row r="410" spans="5:5" ht="13.2">
      <c r="E410" s="82"/>
    </row>
    <row r="411" spans="5:5" ht="13.2">
      <c r="E411" s="82"/>
    </row>
    <row r="412" spans="5:5" ht="13.2">
      <c r="E412" s="82"/>
    </row>
    <row r="413" spans="5:5" ht="13.2">
      <c r="E413" s="82"/>
    </row>
    <row r="414" spans="5:5" ht="13.2">
      <c r="E414" s="82"/>
    </row>
    <row r="415" spans="5:5" ht="13.2">
      <c r="E415" s="82"/>
    </row>
    <row r="416" spans="5:5" ht="13.2">
      <c r="E416" s="82"/>
    </row>
    <row r="417" spans="5:5" ht="13.2">
      <c r="E417" s="82"/>
    </row>
    <row r="418" spans="5:5" ht="13.2">
      <c r="E418" s="82"/>
    </row>
    <row r="419" spans="5:5" ht="13.2">
      <c r="E419" s="82"/>
    </row>
    <row r="420" spans="5:5" ht="13.2">
      <c r="E420" s="82"/>
    </row>
    <row r="421" spans="5:5" ht="13.2">
      <c r="E421" s="82"/>
    </row>
    <row r="422" spans="5:5" ht="13.2">
      <c r="E422" s="82"/>
    </row>
    <row r="423" spans="5:5" ht="13.2">
      <c r="E423" s="82"/>
    </row>
    <row r="424" spans="5:5" ht="13.2">
      <c r="E424" s="82"/>
    </row>
    <row r="425" spans="5:5" ht="13.2">
      <c r="E425" s="82"/>
    </row>
    <row r="426" spans="5:5" ht="13.2">
      <c r="E426" s="82"/>
    </row>
    <row r="427" spans="5:5" ht="13.2">
      <c r="E427" s="82"/>
    </row>
    <row r="428" spans="5:5" ht="13.2">
      <c r="E428" s="82"/>
    </row>
    <row r="429" spans="5:5" ht="13.2">
      <c r="E429" s="82"/>
    </row>
    <row r="430" spans="5:5" ht="13.2">
      <c r="E430" s="82"/>
    </row>
    <row r="431" spans="5:5" ht="13.2">
      <c r="E431" s="82"/>
    </row>
    <row r="432" spans="5:5" ht="13.2">
      <c r="E432" s="82"/>
    </row>
    <row r="433" spans="5:5" ht="13.2">
      <c r="E433" s="82"/>
    </row>
    <row r="434" spans="5:5" ht="13.2">
      <c r="E434" s="82"/>
    </row>
    <row r="435" spans="5:5" ht="13.2">
      <c r="E435" s="82"/>
    </row>
    <row r="436" spans="5:5" ht="13.2">
      <c r="E436" s="82"/>
    </row>
    <row r="437" spans="5:5" ht="13.2">
      <c r="E437" s="82"/>
    </row>
    <row r="438" spans="5:5" ht="13.2">
      <c r="E438" s="82"/>
    </row>
    <row r="439" spans="5:5" ht="13.2">
      <c r="E439" s="82"/>
    </row>
    <row r="440" spans="5:5" ht="13.2">
      <c r="E440" s="82"/>
    </row>
    <row r="441" spans="5:5" ht="13.2">
      <c r="E441" s="82"/>
    </row>
    <row r="442" spans="5:5" ht="13.2">
      <c r="E442" s="82"/>
    </row>
    <row r="443" spans="5:5" ht="13.2">
      <c r="E443" s="82"/>
    </row>
    <row r="444" spans="5:5" ht="13.2">
      <c r="E444" s="82"/>
    </row>
    <row r="445" spans="5:5" ht="13.2">
      <c r="E445" s="82"/>
    </row>
    <row r="446" spans="5:5" ht="13.2">
      <c r="E446" s="82"/>
    </row>
    <row r="447" spans="5:5" ht="13.2">
      <c r="E447" s="82"/>
    </row>
    <row r="448" spans="5:5" ht="13.2">
      <c r="E448" s="82"/>
    </row>
    <row r="449" spans="5:5" ht="13.2">
      <c r="E449" s="82"/>
    </row>
    <row r="450" spans="5:5" ht="13.2">
      <c r="E450" s="82"/>
    </row>
    <row r="451" spans="5:5" ht="13.2">
      <c r="E451" s="82"/>
    </row>
    <row r="452" spans="5:5" ht="13.2">
      <c r="E452" s="82"/>
    </row>
    <row r="453" spans="5:5" ht="13.2">
      <c r="E453" s="82"/>
    </row>
    <row r="454" spans="5:5" ht="13.2">
      <c r="E454" s="82"/>
    </row>
    <row r="455" spans="5:5" ht="13.2">
      <c r="E455" s="82"/>
    </row>
    <row r="456" spans="5:5" ht="13.2">
      <c r="E456" s="82"/>
    </row>
    <row r="457" spans="5:5" ht="13.2">
      <c r="E457" s="82"/>
    </row>
    <row r="458" spans="5:5" ht="13.2">
      <c r="E458" s="82"/>
    </row>
    <row r="459" spans="5:5" ht="13.2">
      <c r="E459" s="82"/>
    </row>
    <row r="460" spans="5:5" ht="13.2">
      <c r="E460" s="82"/>
    </row>
    <row r="461" spans="5:5" ht="13.2">
      <c r="E461" s="82"/>
    </row>
    <row r="462" spans="5:5" ht="13.2">
      <c r="E462" s="82"/>
    </row>
    <row r="463" spans="5:5" ht="13.2">
      <c r="E463" s="82"/>
    </row>
    <row r="464" spans="5:5" ht="13.2">
      <c r="E464" s="82"/>
    </row>
    <row r="465" spans="5:5" ht="13.2">
      <c r="E465" s="82"/>
    </row>
    <row r="466" spans="5:5" ht="13.2">
      <c r="E466" s="82"/>
    </row>
    <row r="467" spans="5:5" ht="13.2">
      <c r="E467" s="82"/>
    </row>
    <row r="468" spans="5:5" ht="13.2">
      <c r="E468" s="82"/>
    </row>
    <row r="469" spans="5:5" ht="13.2">
      <c r="E469" s="82"/>
    </row>
    <row r="470" spans="5:5" ht="13.2">
      <c r="E470" s="82"/>
    </row>
    <row r="471" spans="5:5" ht="13.2">
      <c r="E471" s="82"/>
    </row>
    <row r="472" spans="5:5" ht="13.2">
      <c r="E472" s="82"/>
    </row>
    <row r="473" spans="5:5" ht="13.2">
      <c r="E473" s="82"/>
    </row>
    <row r="474" spans="5:5" ht="13.2">
      <c r="E474" s="82"/>
    </row>
    <row r="475" spans="5:5" ht="13.2">
      <c r="E475" s="82"/>
    </row>
    <row r="476" spans="5:5" ht="13.2">
      <c r="E476" s="82"/>
    </row>
    <row r="477" spans="5:5" ht="13.2">
      <c r="E477" s="82"/>
    </row>
    <row r="478" spans="5:5" ht="13.2">
      <c r="E478" s="82"/>
    </row>
    <row r="479" spans="5:5" ht="13.2">
      <c r="E479" s="82"/>
    </row>
    <row r="480" spans="5:5" ht="13.2">
      <c r="E480" s="82"/>
    </row>
    <row r="481" spans="5:5" ht="13.2">
      <c r="E481" s="82"/>
    </row>
    <row r="482" spans="5:5" ht="13.2">
      <c r="E482" s="82"/>
    </row>
    <row r="483" spans="5:5" ht="13.2">
      <c r="E483" s="82"/>
    </row>
    <row r="484" spans="5:5" ht="13.2">
      <c r="E484" s="82"/>
    </row>
    <row r="485" spans="5:5" ht="13.2">
      <c r="E485" s="82"/>
    </row>
    <row r="486" spans="5:5" ht="13.2">
      <c r="E486" s="82"/>
    </row>
    <row r="487" spans="5:5" ht="13.2">
      <c r="E487" s="82"/>
    </row>
    <row r="488" spans="5:5" ht="13.2">
      <c r="E488" s="82"/>
    </row>
    <row r="489" spans="5:5" ht="13.2">
      <c r="E489" s="82"/>
    </row>
    <row r="490" spans="5:5" ht="13.2">
      <c r="E490" s="82"/>
    </row>
    <row r="491" spans="5:5" ht="13.2">
      <c r="E491" s="82"/>
    </row>
    <row r="492" spans="5:5" ht="13.2">
      <c r="E492" s="82"/>
    </row>
    <row r="493" spans="5:5" ht="13.2">
      <c r="E493" s="82"/>
    </row>
    <row r="494" spans="5:5" ht="13.2">
      <c r="E494" s="82"/>
    </row>
    <row r="495" spans="5:5" ht="13.2">
      <c r="E495" s="82"/>
    </row>
    <row r="496" spans="5:5" ht="13.2">
      <c r="E496" s="82"/>
    </row>
    <row r="497" spans="5:5" ht="13.2">
      <c r="E497" s="82"/>
    </row>
    <row r="498" spans="5:5" ht="13.2">
      <c r="E498" s="82"/>
    </row>
    <row r="499" spans="5:5" ht="13.2">
      <c r="E499" s="82"/>
    </row>
    <row r="500" spans="5:5" ht="13.2">
      <c r="E500" s="82"/>
    </row>
    <row r="501" spans="5:5" ht="13.2">
      <c r="E501" s="82"/>
    </row>
    <row r="502" spans="5:5" ht="13.2">
      <c r="E502" s="82"/>
    </row>
    <row r="503" spans="5:5" ht="13.2">
      <c r="E503" s="82"/>
    </row>
    <row r="504" spans="5:5" ht="13.2">
      <c r="E504" s="82"/>
    </row>
    <row r="505" spans="5:5" ht="13.2">
      <c r="E505" s="82"/>
    </row>
    <row r="506" spans="5:5" ht="13.2">
      <c r="E506" s="82"/>
    </row>
    <row r="507" spans="5:5" ht="13.2">
      <c r="E507" s="82"/>
    </row>
    <row r="508" spans="5:5" ht="13.2">
      <c r="E508" s="82"/>
    </row>
    <row r="509" spans="5:5" ht="13.2">
      <c r="E509" s="82"/>
    </row>
    <row r="510" spans="5:5" ht="13.2">
      <c r="E510" s="82"/>
    </row>
    <row r="511" spans="5:5" ht="13.2">
      <c r="E511" s="82"/>
    </row>
    <row r="512" spans="5:5" ht="13.2">
      <c r="E512" s="82"/>
    </row>
    <row r="513" spans="5:5" ht="13.2">
      <c r="E513" s="82"/>
    </row>
    <row r="514" spans="5:5" ht="13.2">
      <c r="E514" s="82"/>
    </row>
    <row r="515" spans="5:5" ht="13.2">
      <c r="E515" s="82"/>
    </row>
    <row r="516" spans="5:5" ht="13.2">
      <c r="E516" s="82"/>
    </row>
    <row r="517" spans="5:5" ht="13.2">
      <c r="E517" s="82"/>
    </row>
    <row r="518" spans="5:5" ht="13.2">
      <c r="E518" s="82"/>
    </row>
    <row r="519" spans="5:5" ht="13.2">
      <c r="E519" s="82"/>
    </row>
    <row r="520" spans="5:5" ht="13.2">
      <c r="E520" s="82"/>
    </row>
    <row r="521" spans="5:5" ht="13.2">
      <c r="E521" s="82"/>
    </row>
    <row r="522" spans="5:5" ht="13.2">
      <c r="E522" s="82"/>
    </row>
    <row r="523" spans="5:5" ht="13.2">
      <c r="E523" s="82"/>
    </row>
    <row r="524" spans="5:5" ht="13.2">
      <c r="E524" s="82"/>
    </row>
    <row r="525" spans="5:5" ht="13.2">
      <c r="E525" s="82"/>
    </row>
    <row r="526" spans="5:5" ht="13.2">
      <c r="E526" s="82"/>
    </row>
    <row r="527" spans="5:5" ht="13.2">
      <c r="E527" s="82"/>
    </row>
    <row r="528" spans="5:5" ht="13.2">
      <c r="E528" s="82"/>
    </row>
    <row r="529" spans="5:5" ht="13.2">
      <c r="E529" s="82"/>
    </row>
    <row r="530" spans="5:5" ht="13.2">
      <c r="E530" s="82"/>
    </row>
    <row r="531" spans="5:5" ht="13.2">
      <c r="E531" s="82"/>
    </row>
    <row r="532" spans="5:5" ht="13.2">
      <c r="E532" s="82"/>
    </row>
    <row r="533" spans="5:5" ht="13.2">
      <c r="E533" s="82"/>
    </row>
    <row r="534" spans="5:5" ht="13.2">
      <c r="E534" s="82"/>
    </row>
    <row r="535" spans="5:5" ht="13.2">
      <c r="E535" s="82"/>
    </row>
    <row r="536" spans="5:5" ht="13.2">
      <c r="E536" s="82"/>
    </row>
    <row r="537" spans="5:5" ht="13.2">
      <c r="E537" s="82"/>
    </row>
    <row r="538" spans="5:5" ht="13.2">
      <c r="E538" s="82"/>
    </row>
    <row r="539" spans="5:5" ht="13.2">
      <c r="E539" s="82"/>
    </row>
    <row r="540" spans="5:5" ht="13.2">
      <c r="E540" s="82"/>
    </row>
    <row r="541" spans="5:5" ht="13.2">
      <c r="E541" s="82"/>
    </row>
    <row r="542" spans="5:5" ht="13.2">
      <c r="E542" s="82"/>
    </row>
    <row r="543" spans="5:5" ht="13.2">
      <c r="E543" s="82"/>
    </row>
    <row r="544" spans="5:5" ht="13.2">
      <c r="E544" s="82"/>
    </row>
    <row r="545" spans="5:5" ht="13.2">
      <c r="E545" s="82"/>
    </row>
    <row r="546" spans="5:5" ht="13.2">
      <c r="E546" s="82"/>
    </row>
    <row r="547" spans="5:5" ht="13.2">
      <c r="E547" s="82"/>
    </row>
    <row r="548" spans="5:5" ht="13.2">
      <c r="E548" s="82"/>
    </row>
    <row r="549" spans="5:5" ht="13.2">
      <c r="E549" s="82"/>
    </row>
    <row r="550" spans="5:5" ht="13.2">
      <c r="E550" s="82"/>
    </row>
    <row r="551" spans="5:5" ht="13.2">
      <c r="E551" s="82"/>
    </row>
    <row r="552" spans="5:5" ht="13.2">
      <c r="E552" s="82"/>
    </row>
    <row r="553" spans="5:5" ht="13.2">
      <c r="E553" s="82"/>
    </row>
    <row r="554" spans="5:5" ht="13.2">
      <c r="E554" s="82"/>
    </row>
    <row r="555" spans="5:5" ht="13.2">
      <c r="E555" s="82"/>
    </row>
    <row r="556" spans="5:5" ht="13.2">
      <c r="E556" s="82"/>
    </row>
    <row r="557" spans="5:5" ht="13.2">
      <c r="E557" s="82"/>
    </row>
    <row r="558" spans="5:5" ht="13.2">
      <c r="E558" s="82"/>
    </row>
    <row r="559" spans="5:5" ht="13.2">
      <c r="E559" s="82"/>
    </row>
    <row r="560" spans="5:5" ht="13.2">
      <c r="E560" s="82"/>
    </row>
    <row r="561" spans="5:5" ht="13.2">
      <c r="E561" s="82"/>
    </row>
    <row r="562" spans="5:5" ht="13.2">
      <c r="E562" s="82"/>
    </row>
    <row r="563" spans="5:5" ht="13.2">
      <c r="E563" s="82"/>
    </row>
    <row r="564" spans="5:5" ht="13.2">
      <c r="E564" s="82"/>
    </row>
    <row r="565" spans="5:5" ht="13.2">
      <c r="E565" s="82"/>
    </row>
    <row r="566" spans="5:5" ht="13.2">
      <c r="E566" s="82"/>
    </row>
    <row r="567" spans="5:5" ht="13.2">
      <c r="E567" s="82"/>
    </row>
    <row r="568" spans="5:5" ht="13.2">
      <c r="E568" s="82"/>
    </row>
    <row r="569" spans="5:5" ht="13.2">
      <c r="E569" s="82"/>
    </row>
    <row r="570" spans="5:5" ht="13.2">
      <c r="E570" s="82"/>
    </row>
    <row r="571" spans="5:5" ht="13.2">
      <c r="E571" s="82"/>
    </row>
    <row r="572" spans="5:5" ht="13.2">
      <c r="E572" s="82"/>
    </row>
    <row r="573" spans="5:5" ht="13.2">
      <c r="E573" s="82"/>
    </row>
    <row r="574" spans="5:5" ht="13.2">
      <c r="E574" s="82"/>
    </row>
    <row r="575" spans="5:5" ht="13.2">
      <c r="E575" s="82"/>
    </row>
    <row r="576" spans="5:5" ht="13.2">
      <c r="E576" s="82"/>
    </row>
    <row r="577" spans="5:5" ht="13.2">
      <c r="E577" s="82"/>
    </row>
    <row r="578" spans="5:5" ht="13.2">
      <c r="E578" s="82"/>
    </row>
    <row r="579" spans="5:5" ht="13.2">
      <c r="E579" s="82"/>
    </row>
    <row r="580" spans="5:5" ht="13.2">
      <c r="E580" s="82"/>
    </row>
    <row r="581" spans="5:5" ht="13.2">
      <c r="E581" s="82"/>
    </row>
    <row r="582" spans="5:5" ht="13.2">
      <c r="E582" s="82"/>
    </row>
    <row r="583" spans="5:5" ht="13.2">
      <c r="E583" s="82"/>
    </row>
    <row r="584" spans="5:5" ht="13.2">
      <c r="E584" s="82"/>
    </row>
    <row r="585" spans="5:5" ht="13.2">
      <c r="E585" s="82"/>
    </row>
    <row r="586" spans="5:5" ht="13.2">
      <c r="E586" s="82"/>
    </row>
    <row r="587" spans="5:5" ht="13.2">
      <c r="E587" s="82"/>
    </row>
    <row r="588" spans="5:5" ht="13.2">
      <c r="E588" s="82"/>
    </row>
    <row r="589" spans="5:5" ht="13.2">
      <c r="E589" s="82"/>
    </row>
    <row r="590" spans="5:5" ht="13.2">
      <c r="E590" s="82"/>
    </row>
    <row r="591" spans="5:5" ht="13.2">
      <c r="E591" s="82"/>
    </row>
    <row r="592" spans="5:5" ht="13.2">
      <c r="E592" s="82"/>
    </row>
    <row r="593" spans="5:5" ht="13.2">
      <c r="E593" s="82"/>
    </row>
    <row r="594" spans="5:5" ht="13.2">
      <c r="E594" s="82"/>
    </row>
    <row r="595" spans="5:5" ht="13.2">
      <c r="E595" s="82"/>
    </row>
    <row r="596" spans="5:5" ht="13.2">
      <c r="E596" s="82"/>
    </row>
    <row r="597" spans="5:5" ht="13.2">
      <c r="E597" s="82"/>
    </row>
    <row r="598" spans="5:5" ht="13.2">
      <c r="E598" s="82"/>
    </row>
    <row r="599" spans="5:5" ht="13.2">
      <c r="E599" s="82"/>
    </row>
    <row r="600" spans="5:5" ht="13.2">
      <c r="E600" s="82"/>
    </row>
    <row r="601" spans="5:5" ht="13.2">
      <c r="E601" s="82"/>
    </row>
    <row r="602" spans="5:5" ht="13.2">
      <c r="E602" s="82"/>
    </row>
    <row r="603" spans="5:5" ht="13.2">
      <c r="E603" s="82"/>
    </row>
    <row r="604" spans="5:5" ht="13.2">
      <c r="E604" s="82"/>
    </row>
    <row r="605" spans="5:5" ht="13.2">
      <c r="E605" s="82"/>
    </row>
    <row r="606" spans="5:5" ht="13.2">
      <c r="E606" s="82"/>
    </row>
    <row r="607" spans="5:5" ht="13.2">
      <c r="E607" s="82"/>
    </row>
    <row r="608" spans="5:5" ht="13.2">
      <c r="E608" s="82"/>
    </row>
    <row r="609" spans="5:5" ht="13.2">
      <c r="E609" s="82"/>
    </row>
    <row r="610" spans="5:5" ht="13.2">
      <c r="E610" s="82"/>
    </row>
    <row r="611" spans="5:5" ht="13.2">
      <c r="E611" s="82"/>
    </row>
    <row r="612" spans="5:5" ht="13.2">
      <c r="E612" s="82"/>
    </row>
    <row r="613" spans="5:5" ht="13.2">
      <c r="E613" s="82"/>
    </row>
    <row r="614" spans="5:5" ht="13.2">
      <c r="E614" s="82"/>
    </row>
    <row r="615" spans="5:5" ht="13.2">
      <c r="E615" s="82"/>
    </row>
    <row r="616" spans="5:5" ht="13.2">
      <c r="E616" s="82"/>
    </row>
    <row r="617" spans="5:5" ht="13.2">
      <c r="E617" s="82"/>
    </row>
    <row r="618" spans="5:5" ht="13.2">
      <c r="E618" s="82"/>
    </row>
    <row r="619" spans="5:5" ht="13.2">
      <c r="E619" s="82"/>
    </row>
    <row r="620" spans="5:5" ht="13.2">
      <c r="E620" s="82"/>
    </row>
    <row r="621" spans="5:5" ht="13.2">
      <c r="E621" s="82"/>
    </row>
    <row r="622" spans="5:5" ht="13.2">
      <c r="E622" s="82"/>
    </row>
    <row r="623" spans="5:5" ht="13.2">
      <c r="E623" s="82"/>
    </row>
    <row r="624" spans="5:5" ht="13.2">
      <c r="E624" s="82"/>
    </row>
    <row r="625" spans="5:5" ht="13.2">
      <c r="E625" s="82"/>
    </row>
    <row r="626" spans="5:5" ht="13.2">
      <c r="E626" s="82"/>
    </row>
    <row r="627" spans="5:5" ht="13.2">
      <c r="E627" s="82"/>
    </row>
    <row r="628" spans="5:5" ht="13.2">
      <c r="E628" s="82"/>
    </row>
    <row r="629" spans="5:5" ht="13.2">
      <c r="E629" s="82"/>
    </row>
    <row r="630" spans="5:5" ht="13.2">
      <c r="E630" s="82"/>
    </row>
    <row r="631" spans="5:5" ht="13.2">
      <c r="E631" s="82"/>
    </row>
    <row r="632" spans="5:5" ht="13.2">
      <c r="E632" s="82"/>
    </row>
    <row r="633" spans="5:5" ht="13.2">
      <c r="E633" s="82"/>
    </row>
    <row r="634" spans="5:5" ht="13.2">
      <c r="E634" s="82"/>
    </row>
    <row r="635" spans="5:5" ht="13.2">
      <c r="E635" s="82"/>
    </row>
    <row r="636" spans="5:5" ht="13.2">
      <c r="E636" s="82"/>
    </row>
    <row r="637" spans="5:5" ht="13.2">
      <c r="E637" s="82"/>
    </row>
    <row r="638" spans="5:5" ht="13.2">
      <c r="E638" s="82"/>
    </row>
    <row r="639" spans="5:5" ht="13.2">
      <c r="E639" s="82"/>
    </row>
    <row r="640" spans="5:5" ht="13.2">
      <c r="E640" s="82"/>
    </row>
    <row r="641" spans="5:5" ht="13.2">
      <c r="E641" s="82"/>
    </row>
    <row r="642" spans="5:5" ht="13.2">
      <c r="E642" s="82"/>
    </row>
    <row r="643" spans="5:5" ht="13.2">
      <c r="E643" s="82"/>
    </row>
    <row r="644" spans="5:5" ht="13.2">
      <c r="E644" s="82"/>
    </row>
    <row r="645" spans="5:5" ht="13.2">
      <c r="E645" s="82"/>
    </row>
    <row r="646" spans="5:5" ht="13.2">
      <c r="E646" s="82"/>
    </row>
    <row r="647" spans="5:5" ht="13.2">
      <c r="E647" s="82"/>
    </row>
    <row r="648" spans="5:5" ht="13.2">
      <c r="E648" s="82"/>
    </row>
    <row r="649" spans="5:5" ht="13.2">
      <c r="E649" s="82"/>
    </row>
    <row r="650" spans="5:5" ht="13.2">
      <c r="E650" s="82"/>
    </row>
    <row r="651" spans="5:5" ht="13.2">
      <c r="E651" s="82"/>
    </row>
    <row r="652" spans="5:5" ht="13.2">
      <c r="E652" s="82"/>
    </row>
    <row r="653" spans="5:5" ht="13.2">
      <c r="E653" s="82"/>
    </row>
    <row r="654" spans="5:5" ht="13.2">
      <c r="E654" s="82"/>
    </row>
    <row r="655" spans="5:5" ht="13.2">
      <c r="E655" s="82"/>
    </row>
    <row r="656" spans="5:5" ht="13.2">
      <c r="E656" s="82"/>
    </row>
    <row r="657" spans="5:5" ht="13.2">
      <c r="E657" s="82"/>
    </row>
    <row r="658" spans="5:5" ht="13.2">
      <c r="E658" s="82"/>
    </row>
    <row r="659" spans="5:5" ht="13.2">
      <c r="E659" s="82"/>
    </row>
    <row r="660" spans="5:5" ht="13.2">
      <c r="E660" s="82"/>
    </row>
    <row r="661" spans="5:5" ht="13.2">
      <c r="E661" s="82"/>
    </row>
    <row r="662" spans="5:5" ht="13.2">
      <c r="E662" s="82"/>
    </row>
    <row r="663" spans="5:5" ht="13.2">
      <c r="E663" s="82"/>
    </row>
    <row r="664" spans="5:5" ht="13.2">
      <c r="E664" s="82"/>
    </row>
    <row r="665" spans="5:5" ht="13.2">
      <c r="E665" s="82"/>
    </row>
    <row r="666" spans="5:5" ht="13.2">
      <c r="E666" s="82"/>
    </row>
    <row r="667" spans="5:5" ht="13.2">
      <c r="E667" s="82"/>
    </row>
    <row r="668" spans="5:5" ht="13.2">
      <c r="E668" s="82"/>
    </row>
    <row r="669" spans="5:5" ht="13.2">
      <c r="E669" s="82"/>
    </row>
    <row r="670" spans="5:5" ht="13.2">
      <c r="E670" s="82"/>
    </row>
    <row r="671" spans="5:5" ht="13.2">
      <c r="E671" s="82"/>
    </row>
    <row r="672" spans="5:5" ht="13.2">
      <c r="E672" s="82"/>
    </row>
    <row r="673" spans="5:5" ht="13.2">
      <c r="E673" s="82"/>
    </row>
    <row r="674" spans="5:5" ht="13.2">
      <c r="E674" s="82"/>
    </row>
    <row r="675" spans="5:5" ht="13.2">
      <c r="E675" s="82"/>
    </row>
    <row r="676" spans="5:5" ht="13.2">
      <c r="E676" s="82"/>
    </row>
    <row r="677" spans="5:5" ht="13.2">
      <c r="E677" s="82"/>
    </row>
    <row r="678" spans="5:5" ht="13.2">
      <c r="E678" s="82"/>
    </row>
    <row r="679" spans="5:5" ht="13.2">
      <c r="E679" s="82"/>
    </row>
    <row r="680" spans="5:5" ht="13.2">
      <c r="E680" s="82"/>
    </row>
    <row r="681" spans="5:5" ht="13.2">
      <c r="E681" s="82"/>
    </row>
    <row r="682" spans="5:5" ht="13.2">
      <c r="E682" s="82"/>
    </row>
    <row r="683" spans="5:5" ht="13.2">
      <c r="E683" s="82"/>
    </row>
    <row r="684" spans="5:5" ht="13.2">
      <c r="E684" s="82"/>
    </row>
    <row r="685" spans="5:5" ht="13.2">
      <c r="E685" s="82"/>
    </row>
    <row r="686" spans="5:5" ht="13.2">
      <c r="E686" s="82"/>
    </row>
    <row r="687" spans="5:5" ht="13.2">
      <c r="E687" s="82"/>
    </row>
    <row r="688" spans="5:5" ht="13.2">
      <c r="E688" s="82"/>
    </row>
    <row r="689" spans="5:5" ht="13.2">
      <c r="E689" s="82"/>
    </row>
    <row r="690" spans="5:5" ht="13.2">
      <c r="E690" s="82"/>
    </row>
    <row r="691" spans="5:5" ht="13.2">
      <c r="E691" s="82"/>
    </row>
    <row r="692" spans="5:5" ht="13.2">
      <c r="E692" s="82"/>
    </row>
    <row r="693" spans="5:5" ht="13.2">
      <c r="E693" s="82"/>
    </row>
    <row r="694" spans="5:5" ht="13.2">
      <c r="E694" s="82"/>
    </row>
    <row r="695" spans="5:5" ht="13.2">
      <c r="E695" s="82"/>
    </row>
    <row r="696" spans="5:5" ht="13.2">
      <c r="E696" s="82"/>
    </row>
    <row r="697" spans="5:5" ht="13.2">
      <c r="E697" s="82"/>
    </row>
    <row r="698" spans="5:5" ht="13.2">
      <c r="E698" s="82"/>
    </row>
    <row r="699" spans="5:5" ht="13.2">
      <c r="E699" s="82"/>
    </row>
    <row r="700" spans="5:5" ht="13.2">
      <c r="E700" s="82"/>
    </row>
    <row r="701" spans="5:5" ht="13.2">
      <c r="E701" s="82"/>
    </row>
    <row r="702" spans="5:5" ht="13.2">
      <c r="E702" s="82"/>
    </row>
    <row r="703" spans="5:5" ht="13.2">
      <c r="E703" s="82"/>
    </row>
    <row r="704" spans="5:5" ht="13.2">
      <c r="E704" s="82"/>
    </row>
    <row r="705" spans="5:5" ht="13.2">
      <c r="E705" s="82"/>
    </row>
    <row r="706" spans="5:5" ht="13.2">
      <c r="E706" s="82"/>
    </row>
    <row r="707" spans="5:5" ht="13.2">
      <c r="E707" s="82"/>
    </row>
    <row r="708" spans="5:5" ht="13.2">
      <c r="E708" s="82"/>
    </row>
    <row r="709" spans="5:5" ht="13.2">
      <c r="E709" s="82"/>
    </row>
    <row r="710" spans="5:5" ht="13.2">
      <c r="E710" s="82"/>
    </row>
    <row r="711" spans="5:5" ht="13.2">
      <c r="E711" s="82"/>
    </row>
    <row r="712" spans="5:5" ht="13.2">
      <c r="E712" s="82"/>
    </row>
    <row r="713" spans="5:5" ht="13.2">
      <c r="E713" s="82"/>
    </row>
    <row r="714" spans="5:5" ht="13.2">
      <c r="E714" s="82"/>
    </row>
    <row r="715" spans="5:5" ht="13.2">
      <c r="E715" s="82"/>
    </row>
    <row r="716" spans="5:5" ht="13.2">
      <c r="E716" s="82"/>
    </row>
    <row r="717" spans="5:5" ht="13.2">
      <c r="E717" s="82"/>
    </row>
    <row r="718" spans="5:5" ht="13.2">
      <c r="E718" s="82"/>
    </row>
    <row r="719" spans="5:5" ht="13.2">
      <c r="E719" s="82"/>
    </row>
    <row r="720" spans="5:5" ht="13.2">
      <c r="E720" s="82"/>
    </row>
    <row r="721" spans="5:5" ht="13.2">
      <c r="E721" s="82"/>
    </row>
    <row r="722" spans="5:5" ht="13.2">
      <c r="E722" s="82"/>
    </row>
    <row r="723" spans="5:5" ht="13.2">
      <c r="E723" s="82"/>
    </row>
    <row r="724" spans="5:5" ht="13.2">
      <c r="E724" s="82"/>
    </row>
    <row r="725" spans="5:5" ht="13.2">
      <c r="E725" s="82"/>
    </row>
    <row r="726" spans="5:5" ht="13.2">
      <c r="E726" s="82"/>
    </row>
    <row r="727" spans="5:5" ht="13.2">
      <c r="E727" s="82"/>
    </row>
    <row r="728" spans="5:5" ht="13.2">
      <c r="E728" s="82"/>
    </row>
    <row r="729" spans="5:5" ht="13.2">
      <c r="E729" s="82"/>
    </row>
    <row r="730" spans="5:5" ht="13.2">
      <c r="E730" s="82"/>
    </row>
    <row r="731" spans="5:5" ht="13.2">
      <c r="E731" s="82"/>
    </row>
    <row r="732" spans="5:5" ht="13.2">
      <c r="E732" s="82"/>
    </row>
    <row r="733" spans="5:5" ht="13.2">
      <c r="E733" s="82"/>
    </row>
    <row r="734" spans="5:5" ht="13.2">
      <c r="E734" s="82"/>
    </row>
    <row r="735" spans="5:5" ht="13.2">
      <c r="E735" s="82"/>
    </row>
    <row r="736" spans="5:5" ht="13.2">
      <c r="E736" s="82"/>
    </row>
    <row r="737" spans="5:5" ht="13.2">
      <c r="E737" s="82"/>
    </row>
    <row r="738" spans="5:5" ht="13.2">
      <c r="E738" s="82"/>
    </row>
    <row r="739" spans="5:5" ht="13.2">
      <c r="E739" s="82"/>
    </row>
    <row r="740" spans="5:5" ht="13.2">
      <c r="E740" s="82"/>
    </row>
    <row r="741" spans="5:5" ht="13.2">
      <c r="E741" s="82"/>
    </row>
    <row r="742" spans="5:5" ht="13.2">
      <c r="E742" s="82"/>
    </row>
    <row r="743" spans="5:5" ht="13.2">
      <c r="E743" s="82"/>
    </row>
    <row r="744" spans="5:5" ht="13.2">
      <c r="E744" s="82"/>
    </row>
    <row r="745" spans="5:5" ht="13.2">
      <c r="E745" s="82"/>
    </row>
    <row r="746" spans="5:5" ht="13.2">
      <c r="E746" s="82"/>
    </row>
    <row r="747" spans="5:5" ht="13.2">
      <c r="E747" s="82"/>
    </row>
    <row r="748" spans="5:5" ht="13.2">
      <c r="E748" s="82"/>
    </row>
    <row r="749" spans="5:5" ht="13.2">
      <c r="E749" s="82"/>
    </row>
    <row r="750" spans="5:5" ht="13.2">
      <c r="E750" s="82"/>
    </row>
    <row r="751" spans="5:5" ht="13.2">
      <c r="E751" s="82"/>
    </row>
    <row r="752" spans="5:5" ht="13.2">
      <c r="E752" s="82"/>
    </row>
    <row r="753" spans="5:5" ht="13.2">
      <c r="E753" s="82"/>
    </row>
    <row r="754" spans="5:5" ht="13.2">
      <c r="E754" s="82"/>
    </row>
    <row r="755" spans="5:5" ht="13.2">
      <c r="E755" s="82"/>
    </row>
    <row r="756" spans="5:5" ht="13.2">
      <c r="E756" s="82"/>
    </row>
    <row r="757" spans="5:5" ht="13.2">
      <c r="E757" s="82"/>
    </row>
    <row r="758" spans="5:5" ht="13.2">
      <c r="E758" s="82"/>
    </row>
    <row r="759" spans="5:5" ht="13.2">
      <c r="E759" s="82"/>
    </row>
    <row r="760" spans="5:5" ht="13.2">
      <c r="E760" s="82"/>
    </row>
    <row r="761" spans="5:5" ht="13.2">
      <c r="E761" s="82"/>
    </row>
    <row r="762" spans="5:5" ht="13.2">
      <c r="E762" s="82"/>
    </row>
    <row r="763" spans="5:5" ht="13.2">
      <c r="E763" s="82"/>
    </row>
    <row r="764" spans="5:5" ht="13.2">
      <c r="E764" s="82"/>
    </row>
    <row r="765" spans="5:5" ht="13.2">
      <c r="E765" s="82"/>
    </row>
    <row r="766" spans="5:5" ht="13.2">
      <c r="E766" s="82"/>
    </row>
    <row r="767" spans="5:5" ht="13.2">
      <c r="E767" s="82"/>
    </row>
    <row r="768" spans="5:5" ht="13.2">
      <c r="E768" s="82"/>
    </row>
    <row r="769" spans="5:5" ht="13.2">
      <c r="E769" s="82"/>
    </row>
    <row r="770" spans="5:5" ht="13.2">
      <c r="E770" s="82"/>
    </row>
    <row r="771" spans="5:5" ht="13.2">
      <c r="E771" s="82"/>
    </row>
    <row r="772" spans="5:5" ht="13.2">
      <c r="E772" s="82"/>
    </row>
    <row r="773" spans="5:5" ht="13.2">
      <c r="E773" s="82"/>
    </row>
    <row r="774" spans="5:5" ht="13.2">
      <c r="E774" s="82"/>
    </row>
    <row r="775" spans="5:5" ht="13.2">
      <c r="E775" s="82"/>
    </row>
    <row r="776" spans="5:5" ht="13.2">
      <c r="E776" s="82"/>
    </row>
    <row r="777" spans="5:5" ht="13.2">
      <c r="E777" s="82"/>
    </row>
    <row r="778" spans="5:5" ht="13.2">
      <c r="E778" s="82"/>
    </row>
    <row r="779" spans="5:5" ht="13.2">
      <c r="E779" s="82"/>
    </row>
    <row r="780" spans="5:5" ht="13.2">
      <c r="E780" s="82"/>
    </row>
    <row r="781" spans="5:5" ht="13.2">
      <c r="E781" s="82"/>
    </row>
    <row r="782" spans="5:5" ht="13.2">
      <c r="E782" s="82"/>
    </row>
    <row r="783" spans="5:5" ht="13.2">
      <c r="E783" s="82"/>
    </row>
    <row r="784" spans="5:5" ht="13.2">
      <c r="E784" s="82"/>
    </row>
    <row r="785" spans="5:5" ht="13.2">
      <c r="E785" s="82"/>
    </row>
    <row r="786" spans="5:5" ht="13.2">
      <c r="E786" s="82"/>
    </row>
    <row r="787" spans="5:5" ht="13.2">
      <c r="E787" s="82"/>
    </row>
    <row r="788" spans="5:5" ht="13.2">
      <c r="E788" s="82"/>
    </row>
    <row r="789" spans="5:5" ht="13.2">
      <c r="E789" s="82"/>
    </row>
    <row r="790" spans="5:5" ht="13.2">
      <c r="E790" s="82"/>
    </row>
    <row r="791" spans="5:5" ht="13.2">
      <c r="E791" s="82"/>
    </row>
    <row r="792" spans="5:5" ht="13.2">
      <c r="E792" s="82"/>
    </row>
    <row r="793" spans="5:5" ht="13.2">
      <c r="E793" s="82"/>
    </row>
    <row r="794" spans="5:5" ht="13.2">
      <c r="E794" s="82"/>
    </row>
    <row r="795" spans="5:5" ht="13.2">
      <c r="E795" s="82"/>
    </row>
    <row r="796" spans="5:5" ht="13.2">
      <c r="E796" s="82"/>
    </row>
    <row r="797" spans="5:5" ht="13.2">
      <c r="E797" s="82"/>
    </row>
    <row r="798" spans="5:5" ht="13.2">
      <c r="E798" s="82"/>
    </row>
    <row r="799" spans="5:5" ht="13.2">
      <c r="E799" s="82"/>
    </row>
    <row r="800" spans="5:5" ht="13.2">
      <c r="E800" s="82"/>
    </row>
    <row r="801" spans="5:5" ht="13.2">
      <c r="E801" s="82"/>
    </row>
    <row r="802" spans="5:5" ht="13.2">
      <c r="E802" s="82"/>
    </row>
    <row r="803" spans="5:5" ht="13.2">
      <c r="E803" s="82"/>
    </row>
    <row r="804" spans="5:5" ht="13.2">
      <c r="E804" s="82"/>
    </row>
    <row r="805" spans="5:5" ht="13.2">
      <c r="E805" s="82"/>
    </row>
    <row r="806" spans="5:5" ht="13.2">
      <c r="E806" s="82"/>
    </row>
    <row r="807" spans="5:5" ht="13.2">
      <c r="E807" s="82"/>
    </row>
    <row r="808" spans="5:5" ht="13.2">
      <c r="E808" s="82"/>
    </row>
    <row r="809" spans="5:5" ht="13.2">
      <c r="E809" s="82"/>
    </row>
    <row r="810" spans="5:5" ht="13.2">
      <c r="E810" s="82"/>
    </row>
    <row r="811" spans="5:5" ht="13.2">
      <c r="E811" s="82"/>
    </row>
    <row r="812" spans="5:5" ht="13.2">
      <c r="E812" s="82"/>
    </row>
    <row r="813" spans="5:5" ht="13.2">
      <c r="E813" s="82"/>
    </row>
    <row r="814" spans="5:5" ht="13.2">
      <c r="E814" s="82"/>
    </row>
    <row r="815" spans="5:5" ht="13.2">
      <c r="E815" s="82"/>
    </row>
    <row r="816" spans="5:5" ht="13.2">
      <c r="E816" s="82"/>
    </row>
    <row r="817" spans="5:5" ht="13.2">
      <c r="E817" s="82"/>
    </row>
    <row r="818" spans="5:5" ht="13.2">
      <c r="E818" s="82"/>
    </row>
    <row r="819" spans="5:5" ht="13.2">
      <c r="E819" s="82"/>
    </row>
    <row r="820" spans="5:5" ht="13.2">
      <c r="E820" s="82"/>
    </row>
    <row r="821" spans="5:5" ht="13.2">
      <c r="E821" s="82"/>
    </row>
    <row r="822" spans="5:5" ht="13.2">
      <c r="E822" s="82"/>
    </row>
    <row r="823" spans="5:5" ht="13.2">
      <c r="E823" s="82"/>
    </row>
    <row r="824" spans="5:5" ht="13.2">
      <c r="E824" s="82"/>
    </row>
    <row r="825" spans="5:5" ht="13.2">
      <c r="E825" s="82"/>
    </row>
    <row r="826" spans="5:5" ht="13.2">
      <c r="E826" s="82"/>
    </row>
    <row r="827" spans="5:5" ht="13.2">
      <c r="E827" s="82"/>
    </row>
    <row r="828" spans="5:5" ht="13.2">
      <c r="E828" s="82"/>
    </row>
    <row r="829" spans="5:5" ht="13.2">
      <c r="E829" s="82"/>
    </row>
    <row r="830" spans="5:5" ht="13.2">
      <c r="E830" s="82"/>
    </row>
    <row r="831" spans="5:5" ht="13.2">
      <c r="E831" s="82"/>
    </row>
    <row r="832" spans="5:5" ht="13.2">
      <c r="E832" s="82"/>
    </row>
    <row r="833" spans="5:5" ht="13.2">
      <c r="E833" s="82"/>
    </row>
    <row r="834" spans="5:5" ht="13.2">
      <c r="E834" s="82"/>
    </row>
    <row r="835" spans="5:5" ht="13.2">
      <c r="E835" s="82"/>
    </row>
    <row r="836" spans="5:5" ht="13.2">
      <c r="E836" s="82"/>
    </row>
    <row r="837" spans="5:5" ht="13.2">
      <c r="E837" s="82"/>
    </row>
    <row r="838" spans="5:5" ht="13.2">
      <c r="E838" s="82"/>
    </row>
    <row r="839" spans="5:5" ht="13.2">
      <c r="E839" s="82"/>
    </row>
    <row r="840" spans="5:5" ht="13.2">
      <c r="E840" s="82"/>
    </row>
    <row r="841" spans="5:5" ht="13.2">
      <c r="E841" s="82"/>
    </row>
    <row r="842" spans="5:5" ht="13.2">
      <c r="E842" s="82"/>
    </row>
    <row r="843" spans="5:5" ht="13.2">
      <c r="E843" s="82"/>
    </row>
    <row r="844" spans="5:5" ht="13.2">
      <c r="E844" s="82"/>
    </row>
    <row r="845" spans="5:5" ht="13.2">
      <c r="E845" s="82"/>
    </row>
    <row r="846" spans="5:5" ht="13.2">
      <c r="E846" s="82"/>
    </row>
    <row r="847" spans="5:5" ht="13.2">
      <c r="E847" s="82"/>
    </row>
    <row r="848" spans="5:5" ht="13.2">
      <c r="E848" s="82"/>
    </row>
    <row r="849" spans="5:5" ht="13.2">
      <c r="E849" s="82"/>
    </row>
    <row r="850" spans="5:5" ht="13.2">
      <c r="E850" s="82"/>
    </row>
    <row r="851" spans="5:5" ht="13.2">
      <c r="E851" s="82"/>
    </row>
    <row r="852" spans="5:5" ht="13.2">
      <c r="E852" s="82"/>
    </row>
    <row r="853" spans="5:5" ht="13.2">
      <c r="E853" s="82"/>
    </row>
    <row r="854" spans="5:5" ht="13.2">
      <c r="E854" s="82"/>
    </row>
    <row r="855" spans="5:5" ht="13.2">
      <c r="E855" s="82"/>
    </row>
    <row r="856" spans="5:5" ht="13.2">
      <c r="E856" s="82"/>
    </row>
    <row r="857" spans="5:5" ht="13.2">
      <c r="E857" s="82"/>
    </row>
    <row r="858" spans="5:5" ht="13.2">
      <c r="E858" s="82"/>
    </row>
    <row r="859" spans="5:5" ht="13.2">
      <c r="E859" s="82"/>
    </row>
    <row r="860" spans="5:5" ht="13.2">
      <c r="E860" s="82"/>
    </row>
    <row r="861" spans="5:5" ht="13.2">
      <c r="E861" s="82"/>
    </row>
    <row r="862" spans="5:5" ht="13.2">
      <c r="E862" s="82"/>
    </row>
    <row r="863" spans="5:5" ht="13.2">
      <c r="E863" s="82"/>
    </row>
    <row r="864" spans="5:5" ht="13.2">
      <c r="E864" s="82"/>
    </row>
    <row r="865" spans="5:5" ht="13.2">
      <c r="E865" s="82"/>
    </row>
    <row r="866" spans="5:5" ht="13.2">
      <c r="E866" s="82"/>
    </row>
    <row r="867" spans="5:5" ht="13.2">
      <c r="E867" s="82"/>
    </row>
    <row r="868" spans="5:5" ht="13.2">
      <c r="E868" s="82"/>
    </row>
    <row r="869" spans="5:5" ht="13.2">
      <c r="E869" s="82"/>
    </row>
    <row r="870" spans="5:5" ht="13.2">
      <c r="E870" s="82"/>
    </row>
    <row r="871" spans="5:5" ht="13.2">
      <c r="E871" s="82"/>
    </row>
    <row r="872" spans="5:5" ht="13.2">
      <c r="E872" s="82"/>
    </row>
    <row r="873" spans="5:5" ht="13.2">
      <c r="E873" s="82"/>
    </row>
    <row r="874" spans="5:5" ht="13.2">
      <c r="E874" s="82"/>
    </row>
    <row r="875" spans="5:5" ht="13.2">
      <c r="E875" s="82"/>
    </row>
    <row r="876" spans="5:5" ht="13.2">
      <c r="E876" s="82"/>
    </row>
    <row r="877" spans="5:5" ht="13.2">
      <c r="E877" s="82"/>
    </row>
    <row r="878" spans="5:5" ht="13.2">
      <c r="E878" s="82"/>
    </row>
    <row r="879" spans="5:5" ht="13.2">
      <c r="E879" s="82"/>
    </row>
    <row r="880" spans="5:5" ht="13.2">
      <c r="E880" s="82"/>
    </row>
    <row r="881" spans="5:5" ht="13.2">
      <c r="E881" s="82"/>
    </row>
    <row r="882" spans="5:5" ht="13.2">
      <c r="E882" s="82"/>
    </row>
    <row r="883" spans="5:5" ht="13.2">
      <c r="E883" s="82"/>
    </row>
    <row r="884" spans="5:5" ht="13.2">
      <c r="E884" s="82"/>
    </row>
    <row r="885" spans="5:5" ht="13.2">
      <c r="E885" s="82"/>
    </row>
    <row r="886" spans="5:5" ht="13.2">
      <c r="E886" s="82"/>
    </row>
    <row r="887" spans="5:5" ht="13.2">
      <c r="E887" s="82"/>
    </row>
    <row r="888" spans="5:5" ht="13.2">
      <c r="E888" s="82"/>
    </row>
    <row r="889" spans="5:5" ht="13.2">
      <c r="E889" s="82"/>
    </row>
    <row r="890" spans="5:5" ht="13.2">
      <c r="E890" s="82"/>
    </row>
    <row r="891" spans="5:5" ht="13.2">
      <c r="E891" s="82"/>
    </row>
    <row r="892" spans="5:5" ht="13.2">
      <c r="E892" s="82"/>
    </row>
    <row r="893" spans="5:5" ht="13.2">
      <c r="E893" s="82"/>
    </row>
    <row r="894" spans="5:5" ht="13.2">
      <c r="E894" s="82"/>
    </row>
    <row r="895" spans="5:5" ht="13.2">
      <c r="E895" s="82"/>
    </row>
    <row r="896" spans="5:5" ht="13.2">
      <c r="E896" s="82"/>
    </row>
    <row r="897" spans="5:5" ht="13.2">
      <c r="E897" s="82"/>
    </row>
    <row r="898" spans="5:5" ht="13.2">
      <c r="E898" s="82"/>
    </row>
    <row r="899" spans="5:5" ht="13.2">
      <c r="E899" s="82"/>
    </row>
    <row r="900" spans="5:5" ht="13.2">
      <c r="E900" s="82"/>
    </row>
    <row r="901" spans="5:5" ht="13.2">
      <c r="E901" s="82"/>
    </row>
    <row r="902" spans="5:5" ht="13.2">
      <c r="E902" s="82"/>
    </row>
    <row r="903" spans="5:5" ht="13.2">
      <c r="E903" s="82"/>
    </row>
    <row r="904" spans="5:5" ht="13.2">
      <c r="E904" s="82"/>
    </row>
    <row r="905" spans="5:5" ht="13.2">
      <c r="E905" s="82"/>
    </row>
    <row r="906" spans="5:5" ht="13.2">
      <c r="E906" s="82"/>
    </row>
    <row r="907" spans="5:5" ht="13.2">
      <c r="E907" s="82"/>
    </row>
    <row r="908" spans="5:5" ht="13.2">
      <c r="E908" s="82"/>
    </row>
    <row r="909" spans="5:5" ht="13.2">
      <c r="E909" s="82"/>
    </row>
    <row r="910" spans="5:5" ht="13.2">
      <c r="E910" s="82"/>
    </row>
    <row r="911" spans="5:5" ht="13.2">
      <c r="E911" s="82"/>
    </row>
    <row r="912" spans="5:5" ht="13.2">
      <c r="E912" s="82"/>
    </row>
    <row r="913" spans="5:5" ht="13.2">
      <c r="E913" s="82"/>
    </row>
    <row r="914" spans="5:5" ht="13.2">
      <c r="E914" s="82"/>
    </row>
    <row r="915" spans="5:5" ht="13.2">
      <c r="E915" s="82"/>
    </row>
    <row r="916" spans="5:5" ht="13.2">
      <c r="E916" s="82"/>
    </row>
    <row r="917" spans="5:5" ht="13.2">
      <c r="E917" s="82"/>
    </row>
    <row r="918" spans="5:5" ht="13.2">
      <c r="E918" s="82"/>
    </row>
    <row r="919" spans="5:5" ht="13.2">
      <c r="E919" s="82"/>
    </row>
    <row r="920" spans="5:5" ht="13.2">
      <c r="E920" s="82"/>
    </row>
    <row r="921" spans="5:5" ht="13.2">
      <c r="E921" s="82"/>
    </row>
    <row r="922" spans="5:5" ht="13.2">
      <c r="E922" s="82"/>
    </row>
    <row r="923" spans="5:5" ht="13.2">
      <c r="E923" s="82"/>
    </row>
    <row r="924" spans="5:5" ht="13.2">
      <c r="E924" s="82"/>
    </row>
    <row r="925" spans="5:5" ht="13.2">
      <c r="E925" s="82"/>
    </row>
    <row r="926" spans="5:5" ht="13.2">
      <c r="E926" s="82"/>
    </row>
    <row r="927" spans="5:5" ht="13.2">
      <c r="E927" s="82"/>
    </row>
    <row r="928" spans="5:5" ht="13.2">
      <c r="E928" s="82"/>
    </row>
    <row r="929" spans="5:5" ht="13.2">
      <c r="E929" s="82"/>
    </row>
    <row r="930" spans="5:5" ht="13.2">
      <c r="E930" s="82"/>
    </row>
    <row r="931" spans="5:5" ht="13.2">
      <c r="E931" s="82"/>
    </row>
    <row r="932" spans="5:5" ht="13.2">
      <c r="E932" s="82"/>
    </row>
    <row r="933" spans="5:5" ht="13.2">
      <c r="E933" s="82"/>
    </row>
    <row r="934" spans="5:5" ht="13.2">
      <c r="E934" s="82"/>
    </row>
    <row r="935" spans="5:5" ht="13.2">
      <c r="E935" s="82"/>
    </row>
    <row r="936" spans="5:5" ht="13.2">
      <c r="E936" s="82"/>
    </row>
    <row r="937" spans="5:5" ht="13.2">
      <c r="E937" s="82"/>
    </row>
    <row r="938" spans="5:5" ht="13.2">
      <c r="E938" s="82"/>
    </row>
    <row r="939" spans="5:5" ht="13.2">
      <c r="E939" s="82"/>
    </row>
    <row r="940" spans="5:5" ht="13.2">
      <c r="E940" s="82"/>
    </row>
    <row r="941" spans="5:5" ht="13.2">
      <c r="E941" s="82"/>
    </row>
    <row r="942" spans="5:5" ht="13.2">
      <c r="E942" s="82"/>
    </row>
    <row r="943" spans="5:5" ht="13.2">
      <c r="E943" s="82"/>
    </row>
    <row r="944" spans="5:5" ht="13.2">
      <c r="E944" s="82"/>
    </row>
    <row r="945" spans="5:5" ht="13.2">
      <c r="E945" s="82"/>
    </row>
    <row r="946" spans="5:5" ht="13.2">
      <c r="E946" s="82"/>
    </row>
    <row r="947" spans="5:5" ht="13.2">
      <c r="E947" s="82"/>
    </row>
    <row r="948" spans="5:5" ht="13.2">
      <c r="E948" s="82"/>
    </row>
    <row r="949" spans="5:5" ht="13.2">
      <c r="E949" s="82"/>
    </row>
    <row r="950" spans="5:5" ht="13.2">
      <c r="E950" s="82"/>
    </row>
    <row r="951" spans="5:5" ht="13.2">
      <c r="E951" s="82"/>
    </row>
    <row r="952" spans="5:5" ht="13.2">
      <c r="E952" s="82"/>
    </row>
    <row r="953" spans="5:5" ht="13.2">
      <c r="E953" s="82"/>
    </row>
    <row r="954" spans="5:5" ht="13.2">
      <c r="E954" s="82"/>
    </row>
    <row r="955" spans="5:5" ht="13.2">
      <c r="E955" s="82"/>
    </row>
    <row r="956" spans="5:5" ht="13.2">
      <c r="E956" s="82"/>
    </row>
    <row r="957" spans="5:5" ht="13.2">
      <c r="E957" s="82"/>
    </row>
    <row r="958" spans="5:5" ht="13.2">
      <c r="E958" s="82"/>
    </row>
    <row r="959" spans="5:5" ht="13.2">
      <c r="E959" s="82"/>
    </row>
    <row r="960" spans="5:5" ht="13.2">
      <c r="E960" s="82"/>
    </row>
    <row r="961" spans="5:5" ht="13.2">
      <c r="E961" s="82"/>
    </row>
    <row r="962" spans="5:5" ht="13.2">
      <c r="E962" s="82"/>
    </row>
    <row r="963" spans="5:5" ht="13.2">
      <c r="E963" s="82"/>
    </row>
    <row r="964" spans="5:5" ht="13.2">
      <c r="E964" s="82"/>
    </row>
    <row r="965" spans="5:5" ht="13.2">
      <c r="E965" s="82"/>
    </row>
    <row r="966" spans="5:5" ht="13.2">
      <c r="E966" s="82"/>
    </row>
    <row r="967" spans="5:5" ht="13.2">
      <c r="E967" s="82"/>
    </row>
    <row r="968" spans="5:5" ht="13.2">
      <c r="E968" s="82"/>
    </row>
    <row r="969" spans="5:5" ht="13.2">
      <c r="E969" s="82"/>
    </row>
    <row r="970" spans="5:5" ht="13.2">
      <c r="E970" s="82"/>
    </row>
    <row r="971" spans="5:5" ht="13.2">
      <c r="E971" s="82"/>
    </row>
    <row r="972" spans="5:5" ht="13.2">
      <c r="E972" s="82"/>
    </row>
    <row r="973" spans="5:5" ht="13.2">
      <c r="E973" s="82"/>
    </row>
    <row r="974" spans="5:5" ht="13.2">
      <c r="E974" s="82"/>
    </row>
    <row r="975" spans="5:5" ht="13.2">
      <c r="E975" s="82"/>
    </row>
    <row r="976" spans="5:5" ht="13.2">
      <c r="E976" s="82"/>
    </row>
    <row r="977" spans="5:5" ht="13.2">
      <c r="E977" s="82"/>
    </row>
    <row r="978" spans="5:5" ht="13.2">
      <c r="E978" s="82"/>
    </row>
    <row r="979" spans="5:5" ht="13.2">
      <c r="E979" s="82"/>
    </row>
    <row r="980" spans="5:5" ht="13.2">
      <c r="E980" s="82"/>
    </row>
    <row r="981" spans="5:5" ht="13.2">
      <c r="E981" s="82"/>
    </row>
    <row r="982" spans="5:5" ht="13.2">
      <c r="E982" s="82"/>
    </row>
    <row r="983" spans="5:5" ht="13.2">
      <c r="E983" s="82"/>
    </row>
    <row r="984" spans="5:5" ht="13.2">
      <c r="E984" s="82"/>
    </row>
    <row r="985" spans="5:5" ht="13.2">
      <c r="E985" s="82"/>
    </row>
    <row r="986" spans="5:5" ht="13.2">
      <c r="E986" s="82"/>
    </row>
    <row r="987" spans="5:5" ht="13.2">
      <c r="E987" s="82"/>
    </row>
    <row r="988" spans="5:5" ht="13.2">
      <c r="E988" s="82"/>
    </row>
    <row r="989" spans="5:5" ht="13.2">
      <c r="E989" s="82"/>
    </row>
    <row r="990" spans="5:5" ht="13.2">
      <c r="E990" s="82"/>
    </row>
    <row r="991" spans="5:5" ht="13.2">
      <c r="E991" s="82"/>
    </row>
    <row r="992" spans="5:5" ht="13.2">
      <c r="E992" s="82"/>
    </row>
    <row r="993" spans="5:5" ht="13.2">
      <c r="E993" s="82"/>
    </row>
    <row r="994" spans="5:5" ht="13.2">
      <c r="E994" s="82"/>
    </row>
    <row r="995" spans="5:5" ht="13.2">
      <c r="E995" s="82"/>
    </row>
    <row r="996" spans="5:5" ht="13.2">
      <c r="E996" s="82"/>
    </row>
    <row r="997" spans="5:5" ht="13.2">
      <c r="E997" s="82"/>
    </row>
    <row r="998" spans="5:5" ht="13.2">
      <c r="E998" s="82"/>
    </row>
    <row r="999" spans="5:5" ht="13.2">
      <c r="E999" s="82"/>
    </row>
    <row r="1000" spans="5:5" ht="13.2">
      <c r="E1000" s="82"/>
    </row>
    <row r="1001" spans="5:5" ht="13.2">
      <c r="E1001" s="82"/>
    </row>
    <row r="1002" spans="5:5" ht="13.2">
      <c r="E1002" s="82"/>
    </row>
    <row r="1003" spans="5:5" ht="13.2">
      <c r="E1003" s="82"/>
    </row>
    <row r="1004" spans="5:5" ht="13.2">
      <c r="E1004" s="82"/>
    </row>
    <row r="1005" spans="5:5" ht="13.2">
      <c r="E1005" s="82"/>
    </row>
    <row r="1006" spans="5:5" ht="13.2">
      <c r="E1006" s="82"/>
    </row>
    <row r="1007" spans="5:5" ht="13.2">
      <c r="E1007" s="82"/>
    </row>
    <row r="1008" spans="5:5" ht="13.2">
      <c r="E1008" s="82"/>
    </row>
  </sheetData>
  <autoFilter ref="A2:G20">
    <sortState ref="A2:G20">
      <sortCondition ref="G2:G20"/>
      <sortCondition ref="A2:A20"/>
      <sortCondition ref="E2:E20"/>
    </sortState>
  </autoFilter>
  <mergeCells count="3">
    <mergeCell ref="A1:G1"/>
    <mergeCell ref="A23:G23"/>
    <mergeCell ref="A30:G30"/>
  </mergeCell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11</vt:i4>
      </vt:variant>
      <vt:variant>
        <vt:lpstr>Pomenované rozsahy</vt:lpstr>
      </vt:variant>
      <vt:variant>
        <vt:i4>2</vt:i4>
      </vt:variant>
    </vt:vector>
  </HeadingPairs>
  <TitlesOfParts>
    <vt:vector size="13" baseType="lpstr">
      <vt:lpstr>Čára</vt:lpstr>
      <vt:lpstr>DM</vt:lpstr>
      <vt:lpstr>DM_finale</vt:lpstr>
      <vt:lpstr>DM_pavouk</vt:lpstr>
      <vt:lpstr>AM</vt:lpstr>
      <vt:lpstr>S-LEGO</vt:lpstr>
      <vt:lpstr>S-NeLEGO</vt:lpstr>
      <vt:lpstr>Sprint vysledky</vt:lpstr>
      <vt:lpstr>Freestyle</vt:lpstr>
      <vt:lpstr>Monitory</vt:lpstr>
      <vt:lpstr>Import</vt:lpstr>
      <vt:lpstr>Data</vt:lpstr>
      <vt:lpstr>DM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 Schreiberová</dc:creator>
  <cp:lastModifiedBy>ucitel</cp:lastModifiedBy>
  <dcterms:created xsi:type="dcterms:W3CDTF">2020-02-07T18:02:06Z</dcterms:created>
  <dcterms:modified xsi:type="dcterms:W3CDTF">2020-02-07T18:02:06Z</dcterms:modified>
</cp:coreProperties>
</file>